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firstSheet="3" activeTab="3"/>
  </bookViews>
  <sheets>
    <sheet name="PLAN. ORÇAMENTO" sheetId="1" state="hidden" r:id="rId1"/>
    <sheet name="MEMÓRIA MED 9" sheetId="2" state="hidden" r:id="rId2"/>
    <sheet name="RESUMO MEDIÇÃO" sheetId="4" state="hidden" r:id="rId3"/>
    <sheet name="BM 01" sheetId="8" r:id="rId4"/>
    <sheet name="MEMÓRIA DE CÁLCULO" sheetId="9" r:id="rId5"/>
  </sheets>
  <definedNames>
    <definedName name="_xlnm._FilterDatabase" localSheetId="3" hidden="1">'BM 01'!$A$15:$M$269</definedName>
    <definedName name="_xlnm._FilterDatabase" localSheetId="0" hidden="1">'PLAN. ORÇAMENTO'!$A$25:$AB$239</definedName>
    <definedName name="_xlnm.Print_Area" localSheetId="3">'BM 01'!$A$1:$M$267</definedName>
    <definedName name="_xlnm.Print_Area" localSheetId="4">'MEMÓRIA DE CÁLCULO'!$A$1:$S$207</definedName>
    <definedName name="_xlnm.Print_Area" localSheetId="1">'MEMÓRIA MED 9'!$A$1:$D$100</definedName>
    <definedName name="_xlnm.Print_Area" localSheetId="0">'PLAN. ORÇAMENTO'!$A$1:$AB$233</definedName>
    <definedName name="_xlnm.Print_Area" localSheetId="2">'RESUMO MEDIÇÃO'!$A$1:$C$16</definedName>
    <definedName name="_xlnm.Print_Titles" localSheetId="3">'BM 01'!$6:$15</definedName>
    <definedName name="_xlnm.Print_Titles" localSheetId="4">'MEMÓRIA DE CÁLCULO'!$1:$7</definedName>
    <definedName name="_xlnm.Print_Titles" localSheetId="0">'PLAN. ORÇAMENTO'!$1:$25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8" i="8"/>
  <c r="F258"/>
  <c r="F250"/>
  <c r="M22"/>
  <c r="L22"/>
  <c r="L23"/>
  <c r="K23"/>
  <c r="M17"/>
  <c r="M16" s="1"/>
  <c r="L16"/>
  <c r="K16"/>
  <c r="M19"/>
  <c r="K19"/>
  <c r="I19"/>
  <c r="M44"/>
  <c r="L44"/>
  <c r="L49"/>
  <c r="L48"/>
  <c r="L47"/>
  <c r="L46"/>
  <c r="L45"/>
  <c r="L27"/>
  <c r="L41"/>
  <c r="L40"/>
  <c r="L39"/>
  <c r="L31"/>
  <c r="K31"/>
  <c r="M31" s="1"/>
  <c r="K30"/>
  <c r="M30" s="1"/>
  <c r="K29"/>
  <c r="K28"/>
  <c r="M28" s="1"/>
  <c r="M23"/>
  <c r="M20"/>
  <c r="L20"/>
  <c r="K17"/>
  <c r="I17"/>
  <c r="M41"/>
  <c r="I41"/>
  <c r="L101"/>
  <c r="L102"/>
  <c r="M29"/>
  <c r="L42"/>
  <c r="I29"/>
  <c r="I30"/>
  <c r="I28"/>
  <c r="M49"/>
  <c r="I49"/>
  <c r="M48"/>
  <c r="I48"/>
  <c r="I47"/>
  <c r="M46"/>
  <c r="I46"/>
  <c r="M45"/>
  <c r="M43"/>
  <c r="M42" s="1"/>
  <c r="L43"/>
  <c r="I43"/>
  <c r="K22"/>
  <c r="M24"/>
  <c r="L24"/>
  <c r="M47" l="1"/>
  <c r="L26"/>
  <c r="I31"/>
  <c r="I23"/>
  <c r="K26" s="1"/>
  <c r="F244"/>
  <c r="F213"/>
  <c r="F201"/>
  <c r="F184"/>
  <c r="F46"/>
  <c r="E232"/>
  <c r="F232" s="1"/>
  <c r="F24"/>
  <c r="E20" l="1"/>
  <c r="F20" l="1"/>
  <c r="T19" i="9"/>
  <c r="T168"/>
  <c r="T134"/>
  <c r="T107"/>
  <c r="T79"/>
  <c r="F17" i="8"/>
  <c r="F18"/>
  <c r="F19"/>
  <c r="F23"/>
  <c r="F22" s="1"/>
  <c r="F28"/>
  <c r="F29"/>
  <c r="F30"/>
  <c r="F31"/>
  <c r="F32"/>
  <c r="G32"/>
  <c r="K32" s="1"/>
  <c r="F33"/>
  <c r="G33"/>
  <c r="K33" s="1"/>
  <c r="F34"/>
  <c r="G34"/>
  <c r="K34" s="1"/>
  <c r="F35"/>
  <c r="G35"/>
  <c r="K35" s="1"/>
  <c r="F36"/>
  <c r="G36"/>
  <c r="K36" s="1"/>
  <c r="F37"/>
  <c r="G37"/>
  <c r="K37" s="1"/>
  <c r="F38"/>
  <c r="G38"/>
  <c r="K38" s="1"/>
  <c r="F39"/>
  <c r="F40"/>
  <c r="F41"/>
  <c r="F43"/>
  <c r="F42" s="1"/>
  <c r="F45"/>
  <c r="F47"/>
  <c r="F48"/>
  <c r="F49"/>
  <c r="L51"/>
  <c r="F53"/>
  <c r="F54"/>
  <c r="F55"/>
  <c r="F56"/>
  <c r="F57"/>
  <c r="F58"/>
  <c r="F59"/>
  <c r="F60"/>
  <c r="F62"/>
  <c r="F63"/>
  <c r="F64"/>
  <c r="F65"/>
  <c r="F66"/>
  <c r="F67"/>
  <c r="F68"/>
  <c r="F69"/>
  <c r="F70"/>
  <c r="F71"/>
  <c r="F73"/>
  <c r="F74"/>
  <c r="F75"/>
  <c r="F76"/>
  <c r="F77"/>
  <c r="F78"/>
  <c r="F79"/>
  <c r="F81"/>
  <c r="F82"/>
  <c r="F83"/>
  <c r="F84"/>
  <c r="L86"/>
  <c r="F87"/>
  <c r="F86" s="1"/>
  <c r="L89"/>
  <c r="F91"/>
  <c r="F92"/>
  <c r="F93"/>
  <c r="F94"/>
  <c r="F96"/>
  <c r="F97"/>
  <c r="F99"/>
  <c r="F98" s="1"/>
  <c r="F102"/>
  <c r="F103"/>
  <c r="L105"/>
  <c r="F107"/>
  <c r="F108"/>
  <c r="F109"/>
  <c r="F110"/>
  <c r="F111"/>
  <c r="F112"/>
  <c r="F113"/>
  <c r="F114"/>
  <c r="F116"/>
  <c r="F117"/>
  <c r="L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L157"/>
  <c r="F159"/>
  <c r="F160"/>
  <c r="F161"/>
  <c r="F162"/>
  <c r="F163"/>
  <c r="F164"/>
  <c r="F165"/>
  <c r="F166"/>
  <c r="F167"/>
  <c r="F168"/>
  <c r="F169"/>
  <c r="F170"/>
  <c r="F171"/>
  <c r="F172"/>
  <c r="F174"/>
  <c r="F175"/>
  <c r="F176"/>
  <c r="F177"/>
  <c r="F178"/>
  <c r="F180"/>
  <c r="F181"/>
  <c r="F182"/>
  <c r="F183"/>
  <c r="F185"/>
  <c r="F186"/>
  <c r="F187"/>
  <c r="F188"/>
  <c r="F190"/>
  <c r="F191"/>
  <c r="F192"/>
  <c r="L194"/>
  <c r="F196"/>
  <c r="F197"/>
  <c r="F198"/>
  <c r="F199"/>
  <c r="F200"/>
  <c r="F202"/>
  <c r="F203"/>
  <c r="F204"/>
  <c r="F205"/>
  <c r="F206"/>
  <c r="F207"/>
  <c r="F208"/>
  <c r="F209"/>
  <c r="F210"/>
  <c r="F211"/>
  <c r="F212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5"/>
  <c r="F236"/>
  <c r="F237"/>
  <c r="F238"/>
  <c r="F239"/>
  <c r="F242"/>
  <c r="F243"/>
  <c r="F245"/>
  <c r="F248"/>
  <c r="F249"/>
  <c r="F251"/>
  <c r="F252"/>
  <c r="F253"/>
  <c r="F257"/>
  <c r="F259"/>
  <c r="F261"/>
  <c r="F262"/>
  <c r="F265"/>
  <c r="F266"/>
  <c r="F267"/>
  <c r="I34" l="1"/>
  <c r="I35"/>
  <c r="M35" s="1"/>
  <c r="I37"/>
  <c r="I33"/>
  <c r="M33" s="1"/>
  <c r="I38"/>
  <c r="I36"/>
  <c r="M36" s="1"/>
  <c r="I32"/>
  <c r="F264"/>
  <c r="F194"/>
  <c r="F179"/>
  <c r="F173"/>
  <c r="F260"/>
  <c r="F256"/>
  <c r="F241"/>
  <c r="F234"/>
  <c r="F189"/>
  <c r="F158"/>
  <c r="F115"/>
  <c r="F119"/>
  <c r="F106"/>
  <c r="F44"/>
  <c r="F61"/>
  <c r="F52"/>
  <c r="F27"/>
  <c r="F26" s="1"/>
  <c r="F16"/>
  <c r="F72"/>
  <c r="F101"/>
  <c r="F95"/>
  <c r="F90"/>
  <c r="F80"/>
  <c r="F247"/>
  <c r="E189" i="9"/>
  <c r="C189"/>
  <c r="G189" s="1"/>
  <c r="E186"/>
  <c r="C186"/>
  <c r="G182"/>
  <c r="E182"/>
  <c r="C182"/>
  <c r="E163"/>
  <c r="C163"/>
  <c r="E160"/>
  <c r="C160"/>
  <c r="G160" s="1"/>
  <c r="G156"/>
  <c r="E156"/>
  <c r="C156"/>
  <c r="E137"/>
  <c r="C137"/>
  <c r="E134"/>
  <c r="C134"/>
  <c r="G134" s="1"/>
  <c r="G130"/>
  <c r="E130"/>
  <c r="C130"/>
  <c r="E111"/>
  <c r="C111"/>
  <c r="E108"/>
  <c r="G108" s="1"/>
  <c r="C108"/>
  <c r="G104"/>
  <c r="E104"/>
  <c r="C104"/>
  <c r="E85"/>
  <c r="C85"/>
  <c r="G85" s="1"/>
  <c r="E82"/>
  <c r="G82" s="1"/>
  <c r="C82"/>
  <c r="G78"/>
  <c r="E78"/>
  <c r="C78"/>
  <c r="J78" s="1"/>
  <c r="G186" l="1"/>
  <c r="F105" i="8"/>
  <c r="F89"/>
  <c r="F157"/>
  <c r="F255"/>
  <c r="F51"/>
  <c r="G111" i="9"/>
  <c r="C114" s="1"/>
  <c r="C116" s="1"/>
  <c r="C119" s="1"/>
  <c r="G119" s="1"/>
  <c r="M37" i="8"/>
  <c r="M38"/>
  <c r="M32"/>
  <c r="M34"/>
  <c r="C88" i="9"/>
  <c r="C90" s="1"/>
  <c r="C93" s="1"/>
  <c r="G93" s="1"/>
  <c r="J130"/>
  <c r="J104"/>
  <c r="J156"/>
  <c r="J182"/>
  <c r="C192"/>
  <c r="G163"/>
  <c r="C166" s="1"/>
  <c r="G137"/>
  <c r="C140" s="1"/>
  <c r="R44"/>
  <c r="R42"/>
  <c r="R40"/>
  <c r="R38"/>
  <c r="R22"/>
  <c r="R16" s="1"/>
  <c r="C168" l="1"/>
  <c r="C171" s="1"/>
  <c r="G171" s="1"/>
  <c r="C142"/>
  <c r="C145" s="1"/>
  <c r="G145" s="1"/>
  <c r="C194"/>
  <c r="C197" s="1"/>
  <c r="G197" s="1"/>
  <c r="R35"/>
  <c r="C200" l="1"/>
  <c r="R67" s="1"/>
  <c r="B16"/>
  <c r="A16"/>
  <c r="B15"/>
  <c r="A15"/>
  <c r="R27"/>
  <c r="R26" s="1"/>
  <c r="G39" i="8" l="1"/>
  <c r="K39" s="1"/>
  <c r="K27" s="1"/>
  <c r="R202" i="9"/>
  <c r="G40" i="8" s="1"/>
  <c r="K40" s="1"/>
  <c r="R207" i="9"/>
  <c r="G102" i="8" s="1"/>
  <c r="A206" i="9"/>
  <c r="B206"/>
  <c r="B205"/>
  <c r="A205"/>
  <c r="I102" i="8" l="1"/>
  <c r="K102"/>
  <c r="I39"/>
  <c r="M40"/>
  <c r="I40"/>
  <c r="R206" i="9"/>
  <c r="M102" i="8" l="1"/>
  <c r="M101" s="1"/>
  <c r="K101"/>
  <c r="M39"/>
  <c r="L13"/>
  <c r="S187" i="1"/>
  <c r="S186"/>
  <c r="M27" i="8" l="1"/>
  <c r="M26" s="1"/>
  <c r="S87" i="1"/>
  <c r="S74" l="1"/>
  <c r="H73"/>
  <c r="H101"/>
  <c r="H100"/>
  <c r="H177"/>
  <c r="W87"/>
  <c r="W92"/>
  <c r="AA69"/>
  <c r="X231"/>
  <c r="X230"/>
  <c r="X229"/>
  <c r="X228"/>
  <c r="X227"/>
  <c r="X226"/>
  <c r="X225"/>
  <c r="X224"/>
  <c r="X223"/>
  <c r="X222"/>
  <c r="X221"/>
  <c r="X220"/>
  <c r="X218"/>
  <c r="Y218" s="1"/>
  <c r="X217"/>
  <c r="X216"/>
  <c r="X215"/>
  <c r="X214"/>
  <c r="X213"/>
  <c r="X212"/>
  <c r="X210"/>
  <c r="Y210" s="1"/>
  <c r="X209"/>
  <c r="X208"/>
  <c r="X207"/>
  <c r="X206"/>
  <c r="X205"/>
  <c r="X204"/>
  <c r="X203"/>
  <c r="X202"/>
  <c r="X201"/>
  <c r="X200"/>
  <c r="X199"/>
  <c r="X198"/>
  <c r="X197"/>
  <c r="X196"/>
  <c r="X195"/>
  <c r="X194"/>
  <c r="X193"/>
  <c r="X192"/>
  <c r="X191"/>
  <c r="X190"/>
  <c r="X189"/>
  <c r="X188"/>
  <c r="X187"/>
  <c r="X186"/>
  <c r="X185"/>
  <c r="X184"/>
  <c r="X183"/>
  <c r="X182"/>
  <c r="X181"/>
  <c r="X180"/>
  <c r="X178"/>
  <c r="X176"/>
  <c r="X175"/>
  <c r="X174"/>
  <c r="X173"/>
  <c r="X171"/>
  <c r="Y171" s="1"/>
  <c r="X170"/>
  <c r="X169"/>
  <c r="X168"/>
  <c r="X167"/>
  <c r="X166"/>
  <c r="X165"/>
  <c r="X164"/>
  <c r="X163"/>
  <c r="X162"/>
  <c r="X161"/>
  <c r="X160"/>
  <c r="X159"/>
  <c r="X158"/>
  <c r="X157"/>
  <c r="X156"/>
  <c r="X155"/>
  <c r="X154"/>
  <c r="X153"/>
  <c r="X152"/>
  <c r="X151"/>
  <c r="X150"/>
  <c r="X148"/>
  <c r="Y148" s="1"/>
  <c r="X147"/>
  <c r="X146"/>
  <c r="X145"/>
  <c r="X144"/>
  <c r="X143"/>
  <c r="X142"/>
  <c r="X141"/>
  <c r="Y141" s="1"/>
  <c r="X140"/>
  <c r="Y140" s="1"/>
  <c r="X139"/>
  <c r="X138"/>
  <c r="X137"/>
  <c r="X136"/>
  <c r="Y136" s="1"/>
  <c r="X135"/>
  <c r="X134"/>
  <c r="X133"/>
  <c r="Y133" s="1"/>
  <c r="X132"/>
  <c r="Y132" s="1"/>
  <c r="X131"/>
  <c r="X130"/>
  <c r="X129"/>
  <c r="X128"/>
  <c r="X127"/>
  <c r="X126"/>
  <c r="X125"/>
  <c r="X124"/>
  <c r="Y124" s="1"/>
  <c r="X123"/>
  <c r="Y123" s="1"/>
  <c r="X122"/>
  <c r="Y122" s="1"/>
  <c r="X121"/>
  <c r="Y121" s="1"/>
  <c r="X120"/>
  <c r="Y120" s="1"/>
  <c r="X119"/>
  <c r="Y119" s="1"/>
  <c r="X118"/>
  <c r="Y118" s="1"/>
  <c r="X117"/>
  <c r="Y117" s="1"/>
  <c r="X116"/>
  <c r="X115"/>
  <c r="X114"/>
  <c r="X113"/>
  <c r="X112"/>
  <c r="Y112" s="1"/>
  <c r="X111"/>
  <c r="Y111" s="1"/>
  <c r="X110"/>
  <c r="X109"/>
  <c r="X108"/>
  <c r="X107"/>
  <c r="X105"/>
  <c r="Y105" s="1"/>
  <c r="X104"/>
  <c r="X103"/>
  <c r="X99"/>
  <c r="X98"/>
  <c r="X95"/>
  <c r="Y95" s="1"/>
  <c r="X94"/>
  <c r="X93"/>
  <c r="X91"/>
  <c r="X90"/>
  <c r="X88"/>
  <c r="X86"/>
  <c r="X85"/>
  <c r="X84"/>
  <c r="X83"/>
  <c r="X81"/>
  <c r="Y81" s="1"/>
  <c r="X80"/>
  <c r="X79"/>
  <c r="X78"/>
  <c r="X77"/>
  <c r="X75"/>
  <c r="Y75" s="1"/>
  <c r="X74"/>
  <c r="X71"/>
  <c r="Y71" s="1"/>
  <c r="X69"/>
  <c r="X68"/>
  <c r="X67"/>
  <c r="X66"/>
  <c r="X64"/>
  <c r="X63"/>
  <c r="X61"/>
  <c r="Y61" s="1"/>
  <c r="X60"/>
  <c r="X59"/>
  <c r="X57"/>
  <c r="Y57" s="1"/>
  <c r="X55"/>
  <c r="X52"/>
  <c r="Y52" s="1"/>
  <c r="X51"/>
  <c r="X50"/>
  <c r="Y50" s="1"/>
  <c r="X49"/>
  <c r="Y49" s="1"/>
  <c r="X47"/>
  <c r="Y47" s="1"/>
  <c r="X46"/>
  <c r="X45"/>
  <c r="Y45" s="1"/>
  <c r="X44"/>
  <c r="Y44" s="1"/>
  <c r="X41"/>
  <c r="Y41" s="1"/>
  <c r="X40"/>
  <c r="Y40" s="1"/>
  <c r="X39"/>
  <c r="X38"/>
  <c r="Y38" s="1"/>
  <c r="X37"/>
  <c r="X36"/>
  <c r="X34"/>
  <c r="Y34" s="1"/>
  <c r="X33"/>
  <c r="Y33" s="1"/>
  <c r="X32"/>
  <c r="X31"/>
  <c r="X30"/>
  <c r="Y30" s="1"/>
  <c r="X29"/>
  <c r="Y29" s="1"/>
  <c r="X28"/>
  <c r="Y28" s="1"/>
  <c r="W77"/>
  <c r="Y77" s="1"/>
  <c r="W231"/>
  <c r="W230"/>
  <c r="W229"/>
  <c r="W228"/>
  <c r="W227"/>
  <c r="W226"/>
  <c r="Y226" s="1"/>
  <c r="W225"/>
  <c r="W224"/>
  <c r="W223"/>
  <c r="W222"/>
  <c r="Y222" s="1"/>
  <c r="W221"/>
  <c r="W220"/>
  <c r="W217"/>
  <c r="W216"/>
  <c r="W215"/>
  <c r="W214"/>
  <c r="W213"/>
  <c r="W212"/>
  <c r="W209"/>
  <c r="W208"/>
  <c r="W207"/>
  <c r="W206"/>
  <c r="W205"/>
  <c r="W204"/>
  <c r="W203"/>
  <c r="W202"/>
  <c r="W201"/>
  <c r="W200"/>
  <c r="W199"/>
  <c r="W198"/>
  <c r="W197"/>
  <c r="W196"/>
  <c r="W195"/>
  <c r="W194"/>
  <c r="W193"/>
  <c r="W192"/>
  <c r="W191"/>
  <c r="W190"/>
  <c r="W189"/>
  <c r="W188"/>
  <c r="W187"/>
  <c r="W186"/>
  <c r="W185"/>
  <c r="W184"/>
  <c r="W183"/>
  <c r="W182"/>
  <c r="W181"/>
  <c r="W180"/>
  <c r="W177"/>
  <c r="W176"/>
  <c r="W175"/>
  <c r="W174"/>
  <c r="W173"/>
  <c r="W170"/>
  <c r="Y170" s="1"/>
  <c r="W169"/>
  <c r="Y169" s="1"/>
  <c r="W168"/>
  <c r="W167"/>
  <c r="Y167" s="1"/>
  <c r="W166"/>
  <c r="Y166" s="1"/>
  <c r="W165"/>
  <c r="Y165" s="1"/>
  <c r="W164"/>
  <c r="Y164" s="1"/>
  <c r="W163"/>
  <c r="W162"/>
  <c r="Y162" s="1"/>
  <c r="W161"/>
  <c r="Y161" s="1"/>
  <c r="W160"/>
  <c r="W159"/>
  <c r="Y159" s="1"/>
  <c r="W158"/>
  <c r="Y158" s="1"/>
  <c r="W157"/>
  <c r="Y157" s="1"/>
  <c r="W156"/>
  <c r="Y156" s="1"/>
  <c r="W155"/>
  <c r="Y155" s="1"/>
  <c r="W154"/>
  <c r="Y154" s="1"/>
  <c r="W153"/>
  <c r="Y153" s="1"/>
  <c r="W152"/>
  <c r="W151"/>
  <c r="Y151" s="1"/>
  <c r="W150"/>
  <c r="Y150" s="1"/>
  <c r="W147"/>
  <c r="W146"/>
  <c r="W145"/>
  <c r="W144"/>
  <c r="Y144" s="1"/>
  <c r="W143"/>
  <c r="W138"/>
  <c r="W137"/>
  <c r="W131"/>
  <c r="W130"/>
  <c r="W129"/>
  <c r="W128"/>
  <c r="W127"/>
  <c r="W126"/>
  <c r="W125"/>
  <c r="W116"/>
  <c r="W115"/>
  <c r="W114"/>
  <c r="W113"/>
  <c r="W110"/>
  <c r="Y110" s="1"/>
  <c r="W109"/>
  <c r="Y109" s="1"/>
  <c r="W108"/>
  <c r="W107"/>
  <c r="Y107" s="1"/>
  <c r="W104"/>
  <c r="W103"/>
  <c r="Y103" s="1"/>
  <c r="W102"/>
  <c r="W101"/>
  <c r="W100"/>
  <c r="W99"/>
  <c r="W98"/>
  <c r="W97"/>
  <c r="W94"/>
  <c r="W93"/>
  <c r="W91"/>
  <c r="W90"/>
  <c r="W86"/>
  <c r="W85"/>
  <c r="W84"/>
  <c r="W83"/>
  <c r="W80"/>
  <c r="Y80" s="1"/>
  <c r="W79"/>
  <c r="Y79" s="1"/>
  <c r="W78"/>
  <c r="Y78" s="1"/>
  <c r="W74"/>
  <c r="W73"/>
  <c r="W70"/>
  <c r="W69"/>
  <c r="W68"/>
  <c r="W67"/>
  <c r="W66"/>
  <c r="Y66" s="1"/>
  <c r="W63"/>
  <c r="W60"/>
  <c r="W59"/>
  <c r="W56"/>
  <c r="W55"/>
  <c r="W37"/>
  <c r="AA87"/>
  <c r="AA231"/>
  <c r="AA230"/>
  <c r="AA229"/>
  <c r="AA228"/>
  <c r="AA227"/>
  <c r="AA226"/>
  <c r="AA225"/>
  <c r="AA224"/>
  <c r="AA222"/>
  <c r="AA221"/>
  <c r="AA220"/>
  <c r="AA217"/>
  <c r="AA216"/>
  <c r="AA215"/>
  <c r="AA214"/>
  <c r="AA213"/>
  <c r="AA212"/>
  <c r="AA209"/>
  <c r="AA208"/>
  <c r="AA207"/>
  <c r="AA200"/>
  <c r="AA199"/>
  <c r="AA198"/>
  <c r="AA197"/>
  <c r="AA196"/>
  <c r="AA195"/>
  <c r="AA194"/>
  <c r="AA193"/>
  <c r="AA192"/>
  <c r="AA191"/>
  <c r="AA190"/>
  <c r="AA189"/>
  <c r="AA188"/>
  <c r="AA187"/>
  <c r="AA186"/>
  <c r="AA184"/>
  <c r="AA183"/>
  <c r="AA182"/>
  <c r="AA181"/>
  <c r="AA180"/>
  <c r="AA176"/>
  <c r="AA173"/>
  <c r="AA170"/>
  <c r="AA163"/>
  <c r="AA159"/>
  <c r="AA153"/>
  <c r="AA147"/>
  <c r="AA146"/>
  <c r="AA138"/>
  <c r="AA137"/>
  <c r="AA115"/>
  <c r="AA114"/>
  <c r="AA113"/>
  <c r="AA104"/>
  <c r="AA103"/>
  <c r="AA99"/>
  <c r="AA98"/>
  <c r="AA94"/>
  <c r="AA93"/>
  <c r="AA91"/>
  <c r="AA86"/>
  <c r="AA83"/>
  <c r="AA80"/>
  <c r="AA79"/>
  <c r="AA78"/>
  <c r="AA77"/>
  <c r="AA74"/>
  <c r="AA68"/>
  <c r="AA66"/>
  <c r="AA55"/>
  <c r="AA37"/>
  <c r="AA101"/>
  <c r="X101"/>
  <c r="AA100"/>
  <c r="X100"/>
  <c r="X102"/>
  <c r="AA102"/>
  <c r="T223"/>
  <c r="U223" s="1"/>
  <c r="V223" s="1"/>
  <c r="T232"/>
  <c r="T231"/>
  <c r="U231" s="1"/>
  <c r="T230"/>
  <c r="T229"/>
  <c r="T228"/>
  <c r="U228" s="1"/>
  <c r="T227"/>
  <c r="U227" s="1"/>
  <c r="T226"/>
  <c r="U226" s="1"/>
  <c r="T225"/>
  <c r="U225" s="1"/>
  <c r="T224"/>
  <c r="U224" s="1"/>
  <c r="T222"/>
  <c r="U222" s="1"/>
  <c r="T221"/>
  <c r="T220"/>
  <c r="U220" s="1"/>
  <c r="F220" s="1"/>
  <c r="T218"/>
  <c r="T217"/>
  <c r="U217" s="1"/>
  <c r="T216"/>
  <c r="T215"/>
  <c r="U215" s="1"/>
  <c r="T214"/>
  <c r="U214" s="1"/>
  <c r="T213"/>
  <c r="U213" s="1"/>
  <c r="T212"/>
  <c r="U212" s="1"/>
  <c r="F212" s="1"/>
  <c r="T210"/>
  <c r="T209"/>
  <c r="U209" s="1"/>
  <c r="T208"/>
  <c r="U208" s="1"/>
  <c r="T207"/>
  <c r="U207" s="1"/>
  <c r="T206"/>
  <c r="U206" s="1"/>
  <c r="V206" s="1"/>
  <c r="T205"/>
  <c r="U205" s="1"/>
  <c r="V205" s="1"/>
  <c r="T204"/>
  <c r="U204" s="1"/>
  <c r="V204" s="1"/>
  <c r="T203"/>
  <c r="T202"/>
  <c r="U202" s="1"/>
  <c r="V202" s="1"/>
  <c r="T201"/>
  <c r="U201" s="1"/>
  <c r="V201" s="1"/>
  <c r="T200"/>
  <c r="U200" s="1"/>
  <c r="T199"/>
  <c r="T198"/>
  <c r="U198" s="1"/>
  <c r="F198" s="1"/>
  <c r="T197"/>
  <c r="U197" s="1"/>
  <c r="T196"/>
  <c r="U196" s="1"/>
  <c r="T195"/>
  <c r="U195" s="1"/>
  <c r="T194"/>
  <c r="U194" s="1"/>
  <c r="F194" s="1"/>
  <c r="T193"/>
  <c r="U193" s="1"/>
  <c r="T192"/>
  <c r="U192" s="1"/>
  <c r="T191"/>
  <c r="U191" s="1"/>
  <c r="V191" s="1"/>
  <c r="T190"/>
  <c r="U190" s="1"/>
  <c r="F190" s="1"/>
  <c r="T189"/>
  <c r="U189" s="1"/>
  <c r="T188"/>
  <c r="U188" s="1"/>
  <c r="T187"/>
  <c r="U187" s="1"/>
  <c r="T186"/>
  <c r="U186" s="1"/>
  <c r="T185"/>
  <c r="U185" s="1"/>
  <c r="V185" s="1"/>
  <c r="T184"/>
  <c r="U184" s="1"/>
  <c r="T183"/>
  <c r="U183" s="1"/>
  <c r="F183" s="1"/>
  <c r="T182"/>
  <c r="U182" s="1"/>
  <c r="T181"/>
  <c r="U181" s="1"/>
  <c r="T180"/>
  <c r="U180" s="1"/>
  <c r="T178"/>
  <c r="T176"/>
  <c r="U176" s="1"/>
  <c r="T175"/>
  <c r="U175" s="1"/>
  <c r="V175" s="1"/>
  <c r="T174"/>
  <c r="U174" s="1"/>
  <c r="V174" s="1"/>
  <c r="T173"/>
  <c r="U173" s="1"/>
  <c r="F173" s="1"/>
  <c r="T171"/>
  <c r="T170"/>
  <c r="U170" s="1"/>
  <c r="F170" s="1"/>
  <c r="T169"/>
  <c r="U169" s="1"/>
  <c r="V169" s="1"/>
  <c r="T168"/>
  <c r="U168" s="1"/>
  <c r="V168" s="1"/>
  <c r="T167"/>
  <c r="U167" s="1"/>
  <c r="V167" s="1"/>
  <c r="T166"/>
  <c r="U166" s="1"/>
  <c r="V166" s="1"/>
  <c r="T165"/>
  <c r="U165" s="1"/>
  <c r="V165" s="1"/>
  <c r="T164"/>
  <c r="U164" s="1"/>
  <c r="V164" s="1"/>
  <c r="T163"/>
  <c r="U163" s="1"/>
  <c r="T162"/>
  <c r="U162" s="1"/>
  <c r="V162" s="1"/>
  <c r="T161"/>
  <c r="U161" s="1"/>
  <c r="V161" s="1"/>
  <c r="T160"/>
  <c r="U160" s="1"/>
  <c r="V160" s="1"/>
  <c r="T159"/>
  <c r="T158"/>
  <c r="U158" s="1"/>
  <c r="V158" s="1"/>
  <c r="T157"/>
  <c r="U157" s="1"/>
  <c r="V157" s="1"/>
  <c r="T156"/>
  <c r="U156" s="1"/>
  <c r="V156" s="1"/>
  <c r="T155"/>
  <c r="U155" s="1"/>
  <c r="V155" s="1"/>
  <c r="T154"/>
  <c r="U154" s="1"/>
  <c r="V154" s="1"/>
  <c r="T153"/>
  <c r="U153" s="1"/>
  <c r="T152"/>
  <c r="U152" s="1"/>
  <c r="V152" s="1"/>
  <c r="T151"/>
  <c r="U151" s="1"/>
  <c r="V151" s="1"/>
  <c r="T150"/>
  <c r="U150" s="1"/>
  <c r="V150" s="1"/>
  <c r="T148"/>
  <c r="T147"/>
  <c r="U147" s="1"/>
  <c r="V147" s="1"/>
  <c r="T146"/>
  <c r="U146" s="1"/>
  <c r="T145"/>
  <c r="U145" s="1"/>
  <c r="V145" s="1"/>
  <c r="T144"/>
  <c r="U144" s="1"/>
  <c r="V144" s="1"/>
  <c r="T143"/>
  <c r="U143" s="1"/>
  <c r="V143" s="1"/>
  <c r="T142"/>
  <c r="U142" s="1"/>
  <c r="V142" s="1"/>
  <c r="T141"/>
  <c r="U141" s="1"/>
  <c r="V141" s="1"/>
  <c r="T140"/>
  <c r="U140" s="1"/>
  <c r="V140" s="1"/>
  <c r="T139"/>
  <c r="U139" s="1"/>
  <c r="V139" s="1"/>
  <c r="T138"/>
  <c r="U138" s="1"/>
  <c r="V138" s="1"/>
  <c r="T137"/>
  <c r="U137" s="1"/>
  <c r="T136"/>
  <c r="U136" s="1"/>
  <c r="V136" s="1"/>
  <c r="T135"/>
  <c r="T134"/>
  <c r="U134" s="1"/>
  <c r="V134" s="1"/>
  <c r="T133"/>
  <c r="U133" s="1"/>
  <c r="V133" s="1"/>
  <c r="T132"/>
  <c r="U132" s="1"/>
  <c r="V132" s="1"/>
  <c r="T131"/>
  <c r="U131" s="1"/>
  <c r="V131" s="1"/>
  <c r="T130"/>
  <c r="U130" s="1"/>
  <c r="V130" s="1"/>
  <c r="T129"/>
  <c r="U129" s="1"/>
  <c r="V129" s="1"/>
  <c r="T128"/>
  <c r="U128" s="1"/>
  <c r="V128" s="1"/>
  <c r="T127"/>
  <c r="U127" s="1"/>
  <c r="V127" s="1"/>
  <c r="T126"/>
  <c r="U126" s="1"/>
  <c r="V126" s="1"/>
  <c r="T125"/>
  <c r="U125" s="1"/>
  <c r="V125" s="1"/>
  <c r="T124"/>
  <c r="U124" s="1"/>
  <c r="V124" s="1"/>
  <c r="T123"/>
  <c r="U123" s="1"/>
  <c r="V123" s="1"/>
  <c r="T122"/>
  <c r="T121"/>
  <c r="U121" s="1"/>
  <c r="V121" s="1"/>
  <c r="T120"/>
  <c r="U120" s="1"/>
  <c r="V120" s="1"/>
  <c r="T119"/>
  <c r="U119" s="1"/>
  <c r="V119" s="1"/>
  <c r="T118"/>
  <c r="U118" s="1"/>
  <c r="V118" s="1"/>
  <c r="T117"/>
  <c r="U117" s="1"/>
  <c r="V117" s="1"/>
  <c r="T116"/>
  <c r="U116" s="1"/>
  <c r="V116" s="1"/>
  <c r="T115"/>
  <c r="U115" s="1"/>
  <c r="T114"/>
  <c r="U114" s="1"/>
  <c r="T113"/>
  <c r="U113" s="1"/>
  <c r="T112"/>
  <c r="U112" s="1"/>
  <c r="V112" s="1"/>
  <c r="T111"/>
  <c r="U111" s="1"/>
  <c r="V111" s="1"/>
  <c r="T110"/>
  <c r="U110" s="1"/>
  <c r="V110" s="1"/>
  <c r="T109"/>
  <c r="U109" s="1"/>
  <c r="V109" s="1"/>
  <c r="T108"/>
  <c r="U108" s="1"/>
  <c r="V108" s="1"/>
  <c r="T107"/>
  <c r="U107" s="1"/>
  <c r="V107" s="1"/>
  <c r="T105"/>
  <c r="T104"/>
  <c r="U104" s="1"/>
  <c r="T103"/>
  <c r="U103" s="1"/>
  <c r="V103" s="1"/>
  <c r="T102"/>
  <c r="U102" s="1"/>
  <c r="V102" s="1"/>
  <c r="T101"/>
  <c r="T100"/>
  <c r="U100" s="1"/>
  <c r="T99"/>
  <c r="U99" s="1"/>
  <c r="T98"/>
  <c r="U98" s="1"/>
  <c r="V98" s="1"/>
  <c r="T95"/>
  <c r="T94"/>
  <c r="U94" s="1"/>
  <c r="T93"/>
  <c r="U93" s="1"/>
  <c r="V93" s="1"/>
  <c r="T91"/>
  <c r="U91" s="1"/>
  <c r="V91" s="1"/>
  <c r="T90"/>
  <c r="U90" s="1"/>
  <c r="V90" s="1"/>
  <c r="T88"/>
  <c r="T86"/>
  <c r="U86" s="1"/>
  <c r="T85"/>
  <c r="U85" s="1"/>
  <c r="V85" s="1"/>
  <c r="T84"/>
  <c r="T83"/>
  <c r="U83" s="1"/>
  <c r="V83" s="1"/>
  <c r="T81"/>
  <c r="T80"/>
  <c r="U80" s="1"/>
  <c r="T79"/>
  <c r="U79" s="1"/>
  <c r="T78"/>
  <c r="U78" s="1"/>
  <c r="T77"/>
  <c r="U77" s="1"/>
  <c r="T75"/>
  <c r="T74"/>
  <c r="U74" s="1"/>
  <c r="T71"/>
  <c r="T69"/>
  <c r="U69" s="1"/>
  <c r="T68"/>
  <c r="U68" s="1"/>
  <c r="F68" s="1"/>
  <c r="T67"/>
  <c r="U67" s="1"/>
  <c r="V67" s="1"/>
  <c r="T66"/>
  <c r="U66" s="1"/>
  <c r="T64"/>
  <c r="T63"/>
  <c r="U63" s="1"/>
  <c r="V63" s="1"/>
  <c r="V62" s="1"/>
  <c r="T61"/>
  <c r="T60"/>
  <c r="U60" s="1"/>
  <c r="V60" s="1"/>
  <c r="T59"/>
  <c r="U59" s="1"/>
  <c r="V59" s="1"/>
  <c r="T57"/>
  <c r="T55"/>
  <c r="U55" s="1"/>
  <c r="T52"/>
  <c r="T51"/>
  <c r="U51" s="1"/>
  <c r="V51" s="1"/>
  <c r="T50"/>
  <c r="U50" s="1"/>
  <c r="V50" s="1"/>
  <c r="T49"/>
  <c r="U49" s="1"/>
  <c r="V49" s="1"/>
  <c r="T47"/>
  <c r="T46"/>
  <c r="U46" s="1"/>
  <c r="V46" s="1"/>
  <c r="T45"/>
  <c r="U45" s="1"/>
  <c r="V45" s="1"/>
  <c r="T44"/>
  <c r="U44" s="1"/>
  <c r="V44" s="1"/>
  <c r="T41"/>
  <c r="T40"/>
  <c r="U40" s="1"/>
  <c r="V40" s="1"/>
  <c r="T39"/>
  <c r="U39" s="1"/>
  <c r="V39" s="1"/>
  <c r="T38"/>
  <c r="U38" s="1"/>
  <c r="V38" s="1"/>
  <c r="T36"/>
  <c r="U36" s="1"/>
  <c r="V36" s="1"/>
  <c r="T34"/>
  <c r="T33"/>
  <c r="U33" s="1"/>
  <c r="V33" s="1"/>
  <c r="T32"/>
  <c r="U32" s="1"/>
  <c r="V32" s="1"/>
  <c r="T31"/>
  <c r="U31" s="1"/>
  <c r="V31" s="1"/>
  <c r="T30"/>
  <c r="U30" s="1"/>
  <c r="V30" s="1"/>
  <c r="T29"/>
  <c r="U29" s="1"/>
  <c r="V29" s="1"/>
  <c r="T28"/>
  <c r="U28" s="1"/>
  <c r="V28" s="1"/>
  <c r="T37"/>
  <c r="U37" s="1"/>
  <c r="V34"/>
  <c r="V41"/>
  <c r="V47"/>
  <c r="V218"/>
  <c r="V210"/>
  <c r="V178"/>
  <c r="V171"/>
  <c r="V148"/>
  <c r="V105"/>
  <c r="V95"/>
  <c r="V88"/>
  <c r="V81"/>
  <c r="V75"/>
  <c r="V71"/>
  <c r="V64"/>
  <c r="V61"/>
  <c r="V57"/>
  <c r="V52"/>
  <c r="T305"/>
  <c r="T304"/>
  <c r="T303"/>
  <c r="T302"/>
  <c r="T301"/>
  <c r="T300"/>
  <c r="T299"/>
  <c r="T298"/>
  <c r="T297"/>
  <c r="T296"/>
  <c r="T295"/>
  <c r="T294"/>
  <c r="T293"/>
  <c r="T292"/>
  <c r="T291"/>
  <c r="T290"/>
  <c r="T289"/>
  <c r="T288"/>
  <c r="T287"/>
  <c r="T286"/>
  <c r="T285"/>
  <c r="T284"/>
  <c r="T283"/>
  <c r="T282"/>
  <c r="T281"/>
  <c r="T280"/>
  <c r="T279"/>
  <c r="T278"/>
  <c r="T277"/>
  <c r="T276"/>
  <c r="T275"/>
  <c r="T274"/>
  <c r="T273"/>
  <c r="T272"/>
  <c r="T271"/>
  <c r="T270"/>
  <c r="T269"/>
  <c r="T268"/>
  <c r="T267"/>
  <c r="T266"/>
  <c r="T265"/>
  <c r="T264"/>
  <c r="T263"/>
  <c r="T262"/>
  <c r="T261"/>
  <c r="T260"/>
  <c r="T259"/>
  <c r="T258"/>
  <c r="T257"/>
  <c r="T256"/>
  <c r="T255"/>
  <c r="T254"/>
  <c r="T253"/>
  <c r="T252"/>
  <c r="T251"/>
  <c r="T250"/>
  <c r="T249"/>
  <c r="T248"/>
  <c r="T247"/>
  <c r="T246"/>
  <c r="T242"/>
  <c r="T241"/>
  <c r="T240"/>
  <c r="U230"/>
  <c r="V230" s="1"/>
  <c r="U229"/>
  <c r="F229" s="1"/>
  <c r="U221"/>
  <c r="F221" s="1"/>
  <c r="U216"/>
  <c r="F216" s="1"/>
  <c r="U203"/>
  <c r="V203" s="1"/>
  <c r="U199"/>
  <c r="V199" s="1"/>
  <c r="U159"/>
  <c r="V159" s="1"/>
  <c r="U135"/>
  <c r="V135" s="1"/>
  <c r="U122"/>
  <c r="V122" s="1"/>
  <c r="U84"/>
  <c r="V84" s="1"/>
  <c r="I67"/>
  <c r="I60"/>
  <c r="I59"/>
  <c r="P244"/>
  <c r="Q245" s="1"/>
  <c r="T245" s="1"/>
  <c r="Z101"/>
  <c r="Z100"/>
  <c r="Z73"/>
  <c r="C76" i="2"/>
  <c r="C78" s="1"/>
  <c r="C92"/>
  <c r="C94"/>
  <c r="C82" s="1"/>
  <c r="C21"/>
  <c r="C23" s="1"/>
  <c r="U101" i="1"/>
  <c r="F101" s="1"/>
  <c r="AB101"/>
  <c r="AB73"/>
  <c r="AB100"/>
  <c r="AA379"/>
  <c r="AA378"/>
  <c r="AA377"/>
  <c r="AA376"/>
  <c r="AA375"/>
  <c r="AA374"/>
  <c r="AA373"/>
  <c r="AA372"/>
  <c r="AA371"/>
  <c r="AA370"/>
  <c r="AA369"/>
  <c r="AA368"/>
  <c r="AA367"/>
  <c r="AA366"/>
  <c r="AA365"/>
  <c r="AA364"/>
  <c r="AA363"/>
  <c r="AA362"/>
  <c r="AA361"/>
  <c r="AA360"/>
  <c r="AA359"/>
  <c r="AA358"/>
  <c r="AA357"/>
  <c r="AA356"/>
  <c r="AA355"/>
  <c r="AA354"/>
  <c r="AA353"/>
  <c r="AA352"/>
  <c r="AA351"/>
  <c r="AA350"/>
  <c r="AA349"/>
  <c r="AA348"/>
  <c r="AA347"/>
  <c r="AA346"/>
  <c r="AA345"/>
  <c r="AA344"/>
  <c r="AA343"/>
  <c r="AA342"/>
  <c r="AA341"/>
  <c r="AA340"/>
  <c r="AA339"/>
  <c r="AA338"/>
  <c r="AA337"/>
  <c r="AA336"/>
  <c r="AA335"/>
  <c r="AA334"/>
  <c r="AA333"/>
  <c r="AA332"/>
  <c r="AA331"/>
  <c r="AA330"/>
  <c r="AA329"/>
  <c r="AA328"/>
  <c r="AA327"/>
  <c r="AA326"/>
  <c r="AA325"/>
  <c r="AA324"/>
  <c r="AA323"/>
  <c r="AA322"/>
  <c r="AA321"/>
  <c r="AA320"/>
  <c r="AA319"/>
  <c r="AA318"/>
  <c r="AA317"/>
  <c r="AA316"/>
  <c r="AA315"/>
  <c r="AA314"/>
  <c r="AA313"/>
  <c r="AA312"/>
  <c r="AA311"/>
  <c r="AA310"/>
  <c r="AA309"/>
  <c r="AA308"/>
  <c r="AA307"/>
  <c r="AA306"/>
  <c r="AA305"/>
  <c r="AA304"/>
  <c r="AA303"/>
  <c r="AA302"/>
  <c r="AA301"/>
  <c r="AA300"/>
  <c r="AA299"/>
  <c r="AA298"/>
  <c r="AA297"/>
  <c r="AA296"/>
  <c r="AA295"/>
  <c r="AA294"/>
  <c r="AA293"/>
  <c r="AA292"/>
  <c r="AA291"/>
  <c r="AA290"/>
  <c r="AA289"/>
  <c r="AA288"/>
  <c r="AA287"/>
  <c r="AA286"/>
  <c r="AA285"/>
  <c r="AA284"/>
  <c r="AA283"/>
  <c r="AA282"/>
  <c r="AA281"/>
  <c r="AA280"/>
  <c r="AA279"/>
  <c r="AA278"/>
  <c r="AA277"/>
  <c r="AA276"/>
  <c r="AA275"/>
  <c r="AA274"/>
  <c r="AA273"/>
  <c r="AA272"/>
  <c r="AA271"/>
  <c r="AA270"/>
  <c r="AA269"/>
  <c r="AA268"/>
  <c r="AA267"/>
  <c r="AA266"/>
  <c r="AA265"/>
  <c r="AA264"/>
  <c r="AA263"/>
  <c r="AA262"/>
  <c r="AA261"/>
  <c r="AA260"/>
  <c r="AA259"/>
  <c r="AA258"/>
  <c r="AA257"/>
  <c r="AA256"/>
  <c r="AA255"/>
  <c r="AA254"/>
  <c r="AA253"/>
  <c r="AA252"/>
  <c r="AA251"/>
  <c r="AA250"/>
  <c r="AA249"/>
  <c r="AA248"/>
  <c r="AA247"/>
  <c r="AA246"/>
  <c r="AA244"/>
  <c r="AA242"/>
  <c r="AA241"/>
  <c r="AA240"/>
  <c r="AA239"/>
  <c r="AA238"/>
  <c r="AA237"/>
  <c r="AA236"/>
  <c r="AA235"/>
  <c r="AA234"/>
  <c r="AA232"/>
  <c r="AA223"/>
  <c r="AA218"/>
  <c r="AA210"/>
  <c r="AA206"/>
  <c r="AA205"/>
  <c r="AA204"/>
  <c r="AA203"/>
  <c r="AA202"/>
  <c r="AA201"/>
  <c r="AA185"/>
  <c r="AA178"/>
  <c r="AA175"/>
  <c r="AA174"/>
  <c r="AA171"/>
  <c r="AA169"/>
  <c r="AA168"/>
  <c r="AA167"/>
  <c r="AA166"/>
  <c r="AA165"/>
  <c r="AA164"/>
  <c r="AA162"/>
  <c r="AA161"/>
  <c r="AA160"/>
  <c r="AA158"/>
  <c r="AA157"/>
  <c r="AA156"/>
  <c r="AA155"/>
  <c r="AA154"/>
  <c r="AA152"/>
  <c r="AA151"/>
  <c r="AA150"/>
  <c r="AA148"/>
  <c r="AA145"/>
  <c r="AA144"/>
  <c r="AA143"/>
  <c r="AA142"/>
  <c r="AA141"/>
  <c r="AA140"/>
  <c r="AA139"/>
  <c r="AA136"/>
  <c r="AA135"/>
  <c r="AA134"/>
  <c r="AA133"/>
  <c r="AA132"/>
  <c r="AA131"/>
  <c r="AA130"/>
  <c r="AA129"/>
  <c r="AA128"/>
  <c r="AA127"/>
  <c r="AA126"/>
  <c r="AA125"/>
  <c r="AA124"/>
  <c r="AA123"/>
  <c r="AA122"/>
  <c r="AA121"/>
  <c r="AA120"/>
  <c r="AA119"/>
  <c r="AA118"/>
  <c r="AA117"/>
  <c r="AA116"/>
  <c r="AA112"/>
  <c r="AA111"/>
  <c r="AA110"/>
  <c r="AA109"/>
  <c r="AA108"/>
  <c r="AA107"/>
  <c r="AA105"/>
  <c r="AA95"/>
  <c r="AA90"/>
  <c r="AA88"/>
  <c r="AA85"/>
  <c r="AA84"/>
  <c r="AA81"/>
  <c r="AA75"/>
  <c r="AA71"/>
  <c r="AA67"/>
  <c r="AA64"/>
  <c r="AA63"/>
  <c r="AA62" s="1"/>
  <c r="AA61"/>
  <c r="AA60"/>
  <c r="AA59"/>
  <c r="AA57"/>
  <c r="AA52"/>
  <c r="AA51"/>
  <c r="AA50"/>
  <c r="AA49"/>
  <c r="AA47"/>
  <c r="AA46"/>
  <c r="AA45"/>
  <c r="AA44"/>
  <c r="AA41"/>
  <c r="AA40"/>
  <c r="AA39"/>
  <c r="AA38"/>
  <c r="AA36"/>
  <c r="AA34"/>
  <c r="AA33"/>
  <c r="AA32"/>
  <c r="AA31"/>
  <c r="AA30"/>
  <c r="AA29"/>
  <c r="AA28"/>
  <c r="AB37"/>
  <c r="AB225"/>
  <c r="AB231"/>
  <c r="AB230"/>
  <c r="AB229"/>
  <c r="AB228"/>
  <c r="AB227"/>
  <c r="AB226"/>
  <c r="AB224"/>
  <c r="AB223"/>
  <c r="AB222"/>
  <c r="AB221"/>
  <c r="AB220"/>
  <c r="AB217"/>
  <c r="AB216"/>
  <c r="AB215"/>
  <c r="AB214"/>
  <c r="AB213"/>
  <c r="AB212"/>
  <c r="AB209"/>
  <c r="AB208"/>
  <c r="AB207"/>
  <c r="AB206"/>
  <c r="AB205"/>
  <c r="AB204"/>
  <c r="AB203"/>
  <c r="AB202"/>
  <c r="AB201"/>
  <c r="AB200"/>
  <c r="AB199"/>
  <c r="AB198"/>
  <c r="AB197"/>
  <c r="AB196"/>
  <c r="AB195"/>
  <c r="AB194"/>
  <c r="AB193"/>
  <c r="AB192"/>
  <c r="AB191"/>
  <c r="AB190"/>
  <c r="AB189"/>
  <c r="AB188"/>
  <c r="AB187"/>
  <c r="AB186"/>
  <c r="AB185"/>
  <c r="AB184"/>
  <c r="AB183"/>
  <c r="AB182"/>
  <c r="AB181"/>
  <c r="AB180"/>
  <c r="AB177"/>
  <c r="AB176"/>
  <c r="AB175"/>
  <c r="AB174"/>
  <c r="AB173"/>
  <c r="AB170"/>
  <c r="AB169"/>
  <c r="AB168"/>
  <c r="AB167"/>
  <c r="AB166"/>
  <c r="AB165"/>
  <c r="AB164"/>
  <c r="AB163"/>
  <c r="AB162"/>
  <c r="AB161"/>
  <c r="AB160"/>
  <c r="AB159"/>
  <c r="AB158"/>
  <c r="AB157"/>
  <c r="AB156"/>
  <c r="AB155"/>
  <c r="AB154"/>
  <c r="AB153"/>
  <c r="AB152"/>
  <c r="AB151"/>
  <c r="AB150"/>
  <c r="AB147"/>
  <c r="AB146"/>
  <c r="AB145"/>
  <c r="AB144"/>
  <c r="AB143"/>
  <c r="AB138"/>
  <c r="AB137"/>
  <c r="AB131"/>
  <c r="AB130"/>
  <c r="AB129"/>
  <c r="AB128"/>
  <c r="AB127"/>
  <c r="AB126"/>
  <c r="AB125"/>
  <c r="AB116"/>
  <c r="AB115"/>
  <c r="AB114"/>
  <c r="AB113"/>
  <c r="AB110"/>
  <c r="AB109"/>
  <c r="AB108"/>
  <c r="AB107"/>
  <c r="AB104"/>
  <c r="AB103"/>
  <c r="AB102"/>
  <c r="AB99"/>
  <c r="AB98"/>
  <c r="AB97"/>
  <c r="AB94"/>
  <c r="AB93"/>
  <c r="AB92"/>
  <c r="AB91"/>
  <c r="AB90"/>
  <c r="AB87"/>
  <c r="AB86"/>
  <c r="AB85"/>
  <c r="AB84"/>
  <c r="AB83"/>
  <c r="AB80"/>
  <c r="AB79"/>
  <c r="AB78"/>
  <c r="AB77"/>
  <c r="AB74"/>
  <c r="AB70"/>
  <c r="AB69"/>
  <c r="AB68"/>
  <c r="AB67"/>
  <c r="AB66"/>
  <c r="AB63"/>
  <c r="AB62" s="1"/>
  <c r="AB60"/>
  <c r="AB59"/>
  <c r="AB56"/>
  <c r="AB55"/>
  <c r="Z228"/>
  <c r="Z231"/>
  <c r="Z230"/>
  <c r="Z229"/>
  <c r="Z227"/>
  <c r="Z226"/>
  <c r="Z225"/>
  <c r="Z224"/>
  <c r="Z223"/>
  <c r="Z222"/>
  <c r="Z221"/>
  <c r="Z220"/>
  <c r="Z217"/>
  <c r="Z216"/>
  <c r="Z215"/>
  <c r="Z214"/>
  <c r="Z213"/>
  <c r="Z212"/>
  <c r="Z209"/>
  <c r="Z208"/>
  <c r="Z207"/>
  <c r="Z206"/>
  <c r="Z205"/>
  <c r="Z204"/>
  <c r="Z203"/>
  <c r="Z202"/>
  <c r="Z201"/>
  <c r="Z200"/>
  <c r="Z199"/>
  <c r="Z198"/>
  <c r="Z197"/>
  <c r="Z196"/>
  <c r="Z195"/>
  <c r="Z194"/>
  <c r="Z193"/>
  <c r="Z192"/>
  <c r="Z191"/>
  <c r="Z190"/>
  <c r="Z189"/>
  <c r="Z188"/>
  <c r="Z187"/>
  <c r="Z186"/>
  <c r="Z185"/>
  <c r="Z184"/>
  <c r="Z183"/>
  <c r="Z182"/>
  <c r="Z181"/>
  <c r="Z180"/>
  <c r="Z177"/>
  <c r="Z176"/>
  <c r="Z175"/>
  <c r="Z174"/>
  <c r="Z173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7"/>
  <c r="Z146"/>
  <c r="Z145"/>
  <c r="Z144"/>
  <c r="Z143"/>
  <c r="Z138"/>
  <c r="Z137"/>
  <c r="Z131"/>
  <c r="Z130"/>
  <c r="Z129"/>
  <c r="Z128"/>
  <c r="Z127"/>
  <c r="Z126"/>
  <c r="Z125"/>
  <c r="Z116"/>
  <c r="Z115"/>
  <c r="Z114"/>
  <c r="Z113"/>
  <c r="Z110"/>
  <c r="Z109"/>
  <c r="Z108"/>
  <c r="Z107"/>
  <c r="Z104"/>
  <c r="Z103"/>
  <c r="Z102"/>
  <c r="Z99"/>
  <c r="Z98"/>
  <c r="Z97"/>
  <c r="Z94"/>
  <c r="Z93"/>
  <c r="Z92"/>
  <c r="Z91"/>
  <c r="Z90"/>
  <c r="Z87"/>
  <c r="Z86"/>
  <c r="Z85"/>
  <c r="Z84"/>
  <c r="Z83"/>
  <c r="Z80"/>
  <c r="Z79"/>
  <c r="Z78"/>
  <c r="Z77"/>
  <c r="Z74"/>
  <c r="Z70"/>
  <c r="Z69"/>
  <c r="Z68"/>
  <c r="Z67"/>
  <c r="Z66"/>
  <c r="Z63"/>
  <c r="Z62" s="1"/>
  <c r="Z60"/>
  <c r="Z59"/>
  <c r="Z56"/>
  <c r="Z55"/>
  <c r="Z37"/>
  <c r="C55" i="2"/>
  <c r="C57" s="1"/>
  <c r="C59" s="1"/>
  <c r="C39"/>
  <c r="C41" s="1"/>
  <c r="AB218" i="1"/>
  <c r="AB210"/>
  <c r="AB178"/>
  <c r="AB171"/>
  <c r="AB148"/>
  <c r="AB142"/>
  <c r="AB141"/>
  <c r="AB140"/>
  <c r="AB139"/>
  <c r="AB136"/>
  <c r="AB135"/>
  <c r="AB134"/>
  <c r="AB133"/>
  <c r="AB132"/>
  <c r="AB124"/>
  <c r="AB123"/>
  <c r="AB122"/>
  <c r="AB121"/>
  <c r="AB120"/>
  <c r="AB119"/>
  <c r="AB118"/>
  <c r="AB117"/>
  <c r="AB112"/>
  <c r="AB111"/>
  <c r="AB105"/>
  <c r="AB95"/>
  <c r="AB88"/>
  <c r="AB81"/>
  <c r="AB75"/>
  <c r="AB71"/>
  <c r="AB64"/>
  <c r="AB61"/>
  <c r="AB57"/>
  <c r="AB52"/>
  <c r="AB51"/>
  <c r="AB50"/>
  <c r="AB49"/>
  <c r="AB47"/>
  <c r="AB46"/>
  <c r="AB45"/>
  <c r="AB44"/>
  <c r="AB41"/>
  <c r="AB40"/>
  <c r="AB39"/>
  <c r="AB38"/>
  <c r="AB36"/>
  <c r="AB34"/>
  <c r="AB33"/>
  <c r="AB32"/>
  <c r="AB31"/>
  <c r="AB30"/>
  <c r="AB29"/>
  <c r="AB28"/>
  <c r="Z218"/>
  <c r="Z210"/>
  <c r="Z178"/>
  <c r="Z171"/>
  <c r="Z148"/>
  <c r="Z142"/>
  <c r="Z141"/>
  <c r="Z140"/>
  <c r="Z139"/>
  <c r="Z136"/>
  <c r="Z135"/>
  <c r="Z134"/>
  <c r="Z133"/>
  <c r="Z132"/>
  <c r="Z124"/>
  <c r="Z123"/>
  <c r="Z122"/>
  <c r="Z121"/>
  <c r="Z120"/>
  <c r="Z119"/>
  <c r="Z118"/>
  <c r="Z117"/>
  <c r="Z112"/>
  <c r="Z111"/>
  <c r="Z105"/>
  <c r="Z95"/>
  <c r="Z88"/>
  <c r="Z81"/>
  <c r="Z75"/>
  <c r="Z71"/>
  <c r="Z64"/>
  <c r="Z61"/>
  <c r="Z57"/>
  <c r="Z52"/>
  <c r="Z51"/>
  <c r="Z50"/>
  <c r="Z49"/>
  <c r="Z47"/>
  <c r="Z46"/>
  <c r="Z45"/>
  <c r="Z44"/>
  <c r="Z41"/>
  <c r="Z40"/>
  <c r="Z39"/>
  <c r="Z38"/>
  <c r="Z36"/>
  <c r="Z34"/>
  <c r="Z33"/>
  <c r="Z32"/>
  <c r="Z31"/>
  <c r="Z30"/>
  <c r="Z29"/>
  <c r="Z28"/>
  <c r="Y178"/>
  <c r="Y142"/>
  <c r="Y139"/>
  <c r="Y135"/>
  <c r="Y134"/>
  <c r="Y88"/>
  <c r="Y64"/>
  <c r="Y51"/>
  <c r="Y46"/>
  <c r="Y39"/>
  <c r="Y36"/>
  <c r="Y32"/>
  <c r="Y31"/>
  <c r="Y163"/>
  <c r="Y152"/>
  <c r="Y160"/>
  <c r="Y168"/>
  <c r="Y183"/>
  <c r="Y199"/>
  <c r="Y184"/>
  <c r="Y173"/>
  <c r="Y108"/>
  <c r="Y211"/>
  <c r="Y172"/>
  <c r="Y96"/>
  <c r="Y76"/>
  <c r="Y72"/>
  <c r="Y58"/>
  <c r="Y54"/>
  <c r="H28"/>
  <c r="H217"/>
  <c r="H29"/>
  <c r="H220"/>
  <c r="H231"/>
  <c r="H230"/>
  <c r="H229"/>
  <c r="H228"/>
  <c r="H227"/>
  <c r="H226"/>
  <c r="H225"/>
  <c r="H224"/>
  <c r="H223"/>
  <c r="H222"/>
  <c r="H221"/>
  <c r="H216"/>
  <c r="H215"/>
  <c r="H214"/>
  <c r="H213"/>
  <c r="H212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6"/>
  <c r="H175"/>
  <c r="H174"/>
  <c r="H173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4"/>
  <c r="H103"/>
  <c r="H102"/>
  <c r="H99"/>
  <c r="H98"/>
  <c r="H97"/>
  <c r="H94"/>
  <c r="H93"/>
  <c r="H92"/>
  <c r="H91"/>
  <c r="H90"/>
  <c r="H87"/>
  <c r="H86"/>
  <c r="H85"/>
  <c r="H84"/>
  <c r="H83"/>
  <c r="H80"/>
  <c r="H79"/>
  <c r="H78"/>
  <c r="H77"/>
  <c r="H74"/>
  <c r="H70"/>
  <c r="H69"/>
  <c r="H68"/>
  <c r="H67"/>
  <c r="H66"/>
  <c r="H63"/>
  <c r="H62" s="1"/>
  <c r="H60"/>
  <c r="H59"/>
  <c r="H56"/>
  <c r="H55"/>
  <c r="H51"/>
  <c r="H50"/>
  <c r="H49"/>
  <c r="H46"/>
  <c r="H45"/>
  <c r="H44"/>
  <c r="H40"/>
  <c r="H39"/>
  <c r="H38"/>
  <c r="H36"/>
  <c r="H33"/>
  <c r="H32"/>
  <c r="H31"/>
  <c r="H30"/>
  <c r="H37"/>
  <c r="C96" i="2" l="1"/>
  <c r="F230" i="1"/>
  <c r="Y69"/>
  <c r="Y147"/>
  <c r="Y221"/>
  <c r="Y225"/>
  <c r="Y229"/>
  <c r="Y93"/>
  <c r="Y99"/>
  <c r="Y115"/>
  <c r="Y127"/>
  <c r="Y131"/>
  <c r="Y212"/>
  <c r="Y216"/>
  <c r="Y59"/>
  <c r="Y86"/>
  <c r="Y191"/>
  <c r="Y195"/>
  <c r="Y203"/>
  <c r="Y207"/>
  <c r="Z58"/>
  <c r="Y130"/>
  <c r="Y206"/>
  <c r="Y55"/>
  <c r="Y84"/>
  <c r="Y113"/>
  <c r="Y129"/>
  <c r="Y175"/>
  <c r="Y181"/>
  <c r="Y185"/>
  <c r="Y201"/>
  <c r="Y214"/>
  <c r="C43" i="2"/>
  <c r="C29"/>
  <c r="C66"/>
  <c r="C80"/>
  <c r="C25"/>
  <c r="C11"/>
  <c r="S56" i="1"/>
  <c r="X56" s="1"/>
  <c r="S92"/>
  <c r="AA92" s="1"/>
  <c r="AA89" s="1"/>
  <c r="C45" i="2"/>
  <c r="P243" i="1"/>
  <c r="Q243" s="1"/>
  <c r="AA243" s="1"/>
  <c r="T244"/>
  <c r="Z72"/>
  <c r="V173"/>
  <c r="S73"/>
  <c r="X73" s="1"/>
  <c r="Y73" s="1"/>
  <c r="S70"/>
  <c r="X70" s="1"/>
  <c r="Y70" s="1"/>
  <c r="S97"/>
  <c r="X97" s="1"/>
  <c r="Y97" s="1"/>
  <c r="Y192"/>
  <c r="V115"/>
  <c r="F115"/>
  <c r="F195"/>
  <c r="V195"/>
  <c r="V207"/>
  <c r="F207"/>
  <c r="V226"/>
  <c r="F226"/>
  <c r="Z54"/>
  <c r="Y197"/>
  <c r="H54"/>
  <c r="AB179"/>
  <c r="AA58"/>
  <c r="V216"/>
  <c r="V183"/>
  <c r="Y187"/>
  <c r="V187"/>
  <c r="F187"/>
  <c r="V113"/>
  <c r="F113"/>
  <c r="H76"/>
  <c r="H82"/>
  <c r="H89"/>
  <c r="H149"/>
  <c r="H179"/>
  <c r="H211"/>
  <c r="H219"/>
  <c r="Z76"/>
  <c r="Z172"/>
  <c r="AB54"/>
  <c r="AB76"/>
  <c r="AB89"/>
  <c r="AB211"/>
  <c r="F98"/>
  <c r="Y94"/>
  <c r="Y128"/>
  <c r="Y213"/>
  <c r="Y223"/>
  <c r="Y227"/>
  <c r="Y68"/>
  <c r="Y91"/>
  <c r="Y98"/>
  <c r="Y126"/>
  <c r="Y146"/>
  <c r="Y224"/>
  <c r="H72"/>
  <c r="V212"/>
  <c r="F55"/>
  <c r="V55"/>
  <c r="V79"/>
  <c r="F79"/>
  <c r="F176"/>
  <c r="V176"/>
  <c r="V225"/>
  <c r="F225"/>
  <c r="F147"/>
  <c r="Y176"/>
  <c r="Y194"/>
  <c r="Y202"/>
  <c r="Y67"/>
  <c r="Y104"/>
  <c r="Y231"/>
  <c r="Z48"/>
  <c r="F199"/>
  <c r="F191"/>
  <c r="AA219"/>
  <c r="Y63"/>
  <c r="Y102"/>
  <c r="Y114"/>
  <c r="Y189"/>
  <c r="Y193"/>
  <c r="Y205"/>
  <c r="Y209"/>
  <c r="Y83"/>
  <c r="Y116"/>
  <c r="Y200"/>
  <c r="Y208"/>
  <c r="Y217"/>
  <c r="Z106"/>
  <c r="F159"/>
  <c r="F102"/>
  <c r="Y100"/>
  <c r="AA211"/>
  <c r="Y85"/>
  <c r="Y182"/>
  <c r="Y190"/>
  <c r="Y198"/>
  <c r="Y137"/>
  <c r="Y145"/>
  <c r="Z43"/>
  <c r="AB35"/>
  <c r="Z65"/>
  <c r="Z82"/>
  <c r="AB96"/>
  <c r="AB172"/>
  <c r="F138"/>
  <c r="Y138"/>
  <c r="Y220"/>
  <c r="Y228"/>
  <c r="V100"/>
  <c r="F100"/>
  <c r="F104"/>
  <c r="V104"/>
  <c r="V137"/>
  <c r="F137"/>
  <c r="V181"/>
  <c r="F181"/>
  <c r="F189"/>
  <c r="V189"/>
  <c r="V193"/>
  <c r="F193"/>
  <c r="F197"/>
  <c r="V197"/>
  <c r="V209"/>
  <c r="F209"/>
  <c r="V214"/>
  <c r="F214"/>
  <c r="V224"/>
  <c r="F224"/>
  <c r="F228"/>
  <c r="V228"/>
  <c r="F69"/>
  <c r="V69"/>
  <c r="F77"/>
  <c r="V77"/>
  <c r="F86"/>
  <c r="V86"/>
  <c r="F99"/>
  <c r="V99"/>
  <c r="V188"/>
  <c r="F188"/>
  <c r="F192"/>
  <c r="V192"/>
  <c r="V196"/>
  <c r="F196"/>
  <c r="F200"/>
  <c r="V200"/>
  <c r="F208"/>
  <c r="V208"/>
  <c r="F222"/>
  <c r="V222"/>
  <c r="F227"/>
  <c r="V227"/>
  <c r="F231"/>
  <c r="V231"/>
  <c r="V58"/>
  <c r="H35"/>
  <c r="Z27"/>
  <c r="Z26" s="1"/>
  <c r="Z219"/>
  <c r="V190"/>
  <c r="V229"/>
  <c r="AA76"/>
  <c r="AB27"/>
  <c r="AB43"/>
  <c r="AB48"/>
  <c r="Z96"/>
  <c r="Z149"/>
  <c r="Z211"/>
  <c r="AB58"/>
  <c r="AB53" s="1"/>
  <c r="AB82"/>
  <c r="AB106"/>
  <c r="AB219"/>
  <c r="V101"/>
  <c r="AA27"/>
  <c r="AA26" s="1"/>
  <c r="AA43"/>
  <c r="AA48"/>
  <c r="AA106"/>
  <c r="F103"/>
  <c r="V221"/>
  <c r="V198"/>
  <c r="V170"/>
  <c r="V220"/>
  <c r="AA179"/>
  <c r="Y215"/>
  <c r="T243"/>
  <c r="Z35"/>
  <c r="Z89"/>
  <c r="Z179"/>
  <c r="AB65"/>
  <c r="AB149"/>
  <c r="AA35"/>
  <c r="AA149"/>
  <c r="Y230"/>
  <c r="H27"/>
  <c r="H43"/>
  <c r="H48"/>
  <c r="H58"/>
  <c r="H53" s="1"/>
  <c r="H65"/>
  <c r="H96"/>
  <c r="H106"/>
  <c r="H172"/>
  <c r="AB72"/>
  <c r="F91"/>
  <c r="F93"/>
  <c r="V194"/>
  <c r="V68"/>
  <c r="Y37"/>
  <c r="Y60"/>
  <c r="Y90"/>
  <c r="Y101"/>
  <c r="Y125"/>
  <c r="Y174"/>
  <c r="Y180"/>
  <c r="Y188"/>
  <c r="Y196"/>
  <c r="Y204"/>
  <c r="Y143"/>
  <c r="F186"/>
  <c r="V186"/>
  <c r="Y186"/>
  <c r="V74"/>
  <c r="F74"/>
  <c r="Y74"/>
  <c r="AA82"/>
  <c r="T87"/>
  <c r="U87" s="1"/>
  <c r="F87" s="1"/>
  <c r="X87"/>
  <c r="Y87" s="1"/>
  <c r="AA73"/>
  <c r="AA56"/>
  <c r="AA54" s="1"/>
  <c r="Y56"/>
  <c r="V94"/>
  <c r="F94"/>
  <c r="V153"/>
  <c r="F153"/>
  <c r="V180"/>
  <c r="F180"/>
  <c r="F184"/>
  <c r="V184"/>
  <c r="F213"/>
  <c r="V213"/>
  <c r="V217"/>
  <c r="F217"/>
  <c r="T70"/>
  <c r="U70" s="1"/>
  <c r="V66"/>
  <c r="F66"/>
  <c r="V114"/>
  <c r="F114"/>
  <c r="V146"/>
  <c r="F146"/>
  <c r="V163"/>
  <c r="F163"/>
  <c r="V182"/>
  <c r="F182"/>
  <c r="F215"/>
  <c r="V215"/>
  <c r="V27"/>
  <c r="V43"/>
  <c r="V48"/>
  <c r="AB26"/>
  <c r="F78"/>
  <c r="V78"/>
  <c r="F37"/>
  <c r="V37"/>
  <c r="V35" s="1"/>
  <c r="V80"/>
  <c r="F80"/>
  <c r="AA245"/>
  <c r="Z53" l="1"/>
  <c r="Z42"/>
  <c r="X92"/>
  <c r="Y92" s="1"/>
  <c r="AA97"/>
  <c r="AA96" s="1"/>
  <c r="AC96" s="1"/>
  <c r="V42"/>
  <c r="T92"/>
  <c r="U92" s="1"/>
  <c r="V92" s="1"/>
  <c r="V89" s="1"/>
  <c r="T73"/>
  <c r="U73" s="1"/>
  <c r="V73" s="1"/>
  <c r="V72" s="1"/>
  <c r="T97"/>
  <c r="U97" s="1"/>
  <c r="V97" s="1"/>
  <c r="V96" s="1"/>
  <c r="AA70"/>
  <c r="AA65" s="1"/>
  <c r="T56"/>
  <c r="U56" s="1"/>
  <c r="F56" s="1"/>
  <c r="S177"/>
  <c r="T177" s="1"/>
  <c r="U177" s="1"/>
  <c r="AA53"/>
  <c r="V219"/>
  <c r="V76"/>
  <c r="AC42"/>
  <c r="AB42"/>
  <c r="AB233" s="1"/>
  <c r="V149"/>
  <c r="Z233"/>
  <c r="V106"/>
  <c r="V211"/>
  <c r="H42"/>
  <c r="H233" s="1"/>
  <c r="AA42"/>
  <c r="X177"/>
  <c r="Y177" s="1"/>
  <c r="AA177"/>
  <c r="AA172" s="1"/>
  <c r="V87"/>
  <c r="V82" s="1"/>
  <c r="F73"/>
  <c r="AC73"/>
  <c r="AA72"/>
  <c r="F92"/>
  <c r="V70"/>
  <c r="V65" s="1"/>
  <c r="F70"/>
  <c r="V179"/>
  <c r="F97" l="1"/>
  <c r="V56"/>
  <c r="V54" s="1"/>
  <c r="V53" s="1"/>
  <c r="AA233"/>
  <c r="AA8" s="1"/>
  <c r="W233"/>
  <c r="Y233"/>
  <c r="F177"/>
  <c r="V177"/>
  <c r="V172" s="1"/>
  <c r="V233" s="1"/>
  <c r="AA22" l="1"/>
  <c r="B7" i="4"/>
  <c r="B9" s="1"/>
  <c r="B15" s="1"/>
  <c r="X233" i="1"/>
  <c r="B8" i="4"/>
  <c r="B10" s="1"/>
  <c r="B11" l="1"/>
  <c r="B16" s="1"/>
</calcChain>
</file>

<file path=xl/sharedStrings.xml><?xml version="1.0" encoding="utf-8"?>
<sst xmlns="http://schemas.openxmlformats.org/spreadsheetml/2006/main" count="1878" uniqueCount="975">
  <si>
    <t>Item</t>
  </si>
  <si>
    <t>Discriminação dos serviços do Orçamento</t>
  </si>
  <si>
    <t>Unid</t>
  </si>
  <si>
    <t>Qtdes</t>
  </si>
  <si>
    <t>Preço Total</t>
  </si>
  <si>
    <t>SERVIÇOS PRELIMINARES</t>
  </si>
  <si>
    <t>1.1</t>
  </si>
  <si>
    <t>Abrigo provisório c/ pavimento para alojamento e depósito</t>
  </si>
  <si>
    <t>m²</t>
  </si>
  <si>
    <t>1.2</t>
  </si>
  <si>
    <t>Placa da obra - padrão governo federal</t>
  </si>
  <si>
    <t>1.3</t>
  </si>
  <si>
    <t>Locação da obra - execução de gabarito</t>
  </si>
  <si>
    <t>1.4</t>
  </si>
  <si>
    <t>Instalações provisórias de esgoto</t>
  </si>
  <si>
    <t>un</t>
  </si>
  <si>
    <t>1.5</t>
  </si>
  <si>
    <t>Instalações provisórias de energia</t>
  </si>
  <si>
    <t>1.6</t>
  </si>
  <si>
    <t>Instalações provisórias de água</t>
  </si>
  <si>
    <t>MOVIMENTO DE TERRA</t>
  </si>
  <si>
    <t>2.1</t>
  </si>
  <si>
    <t>Escavação manual solo de 1a.cat. prof. até 1.50m</t>
  </si>
  <si>
    <t>m³</t>
  </si>
  <si>
    <t>2.2</t>
  </si>
  <si>
    <t>Aterro c/ compactação manual s/ controle, mat. c/ aquisição</t>
  </si>
  <si>
    <t>2.3</t>
  </si>
  <si>
    <t>Reaterro c/ compactação manual s/ controle, material da vala</t>
  </si>
  <si>
    <t>2.4</t>
  </si>
  <si>
    <t>Carga manual de entulho em caminhão basculante</t>
  </si>
  <si>
    <t>2.5</t>
  </si>
  <si>
    <t>Transporte de material, exceto rocha em caminhão até 10km</t>
  </si>
  <si>
    <t>INFRAESTRUTURA</t>
  </si>
  <si>
    <t>3.1</t>
  </si>
  <si>
    <t>SAPATAS</t>
  </si>
  <si>
    <t>3.1.1</t>
  </si>
  <si>
    <t>Lastro de concreto magro traço 1:4:8, espessura 5 cm, preparo mecânico</t>
  </si>
  <si>
    <t>3.1.2</t>
  </si>
  <si>
    <t>Forma plana chapa compensada plastificada, esp.= 12mm util. 5x</t>
  </si>
  <si>
    <t>3.1.3</t>
  </si>
  <si>
    <t>Concreto armado fck 25 MPa, usinado, inclusive lançamento</t>
  </si>
  <si>
    <t>3.2</t>
  </si>
  <si>
    <t>VIGAS BALDRAMES</t>
  </si>
  <si>
    <t>3.2.1</t>
  </si>
  <si>
    <t>3.2.2</t>
  </si>
  <si>
    <t>3.2.3</t>
  </si>
  <si>
    <t>Impermeabilização com tinta betuminosa em fundações</t>
  </si>
  <si>
    <t>SUPERESTRUTURA</t>
  </si>
  <si>
    <t>4.1</t>
  </si>
  <si>
    <t>PILARES</t>
  </si>
  <si>
    <t>4.1.1</t>
  </si>
  <si>
    <t>4.1.2</t>
  </si>
  <si>
    <t>4.2</t>
  </si>
  <si>
    <t>VIGAS</t>
  </si>
  <si>
    <t>4.2.1</t>
  </si>
  <si>
    <t>4.2.2</t>
  </si>
  <si>
    <t>4.3</t>
  </si>
  <si>
    <t>LAJE PREMOLDADA</t>
  </si>
  <si>
    <t>4.3.1</t>
  </si>
  <si>
    <t>Laje premoldada para forro (e=12cm), inclusive capeamento (e=4cm) e escoramento</t>
  </si>
  <si>
    <t>PAREDES E PAINÉIS</t>
  </si>
  <si>
    <t>5.1</t>
  </si>
  <si>
    <t>Alvenaria de tijolo cerâmico (9x19x24)cm, e= 0,09m, com argamassa (traço 1:2:8 - cimento/cal/areia), junta de 2,0cm</t>
  </si>
  <si>
    <t>5.2</t>
  </si>
  <si>
    <t>Alvenaria de tijolo cerâmico (9x19x24)cm, e= 0,19m, com argamassa (traço 1:2:8 - cimento/cal/areia), junta de 2,0cm</t>
  </si>
  <si>
    <t>5.3</t>
  </si>
  <si>
    <t>Alvenaria de tijolo cerâmico maciço (4x9x17), esp = 0,04m, com argamassa (traço 1:2:8 - cimento/cal/areia), junta de 2,0cm</t>
  </si>
  <si>
    <t>5.4</t>
  </si>
  <si>
    <t>5.5</t>
  </si>
  <si>
    <t>Elemento vazado de concreto (50x50x10cm) anti-chuva assentados com argamassa (imento e areia traço 1:3)</t>
  </si>
  <si>
    <t>COBERTURA</t>
  </si>
  <si>
    <t>6.1</t>
  </si>
  <si>
    <t>Estrutura de aço em arco vão de 30m</t>
  </si>
  <si>
    <t>6.2</t>
  </si>
  <si>
    <t>Telha metálica em chapa galvanizada e=0.5mm</t>
  </si>
  <si>
    <t>ESQUADRIAS</t>
  </si>
  <si>
    <t>7.1</t>
  </si>
  <si>
    <t>Porta de madeira (1,00x2,10 m) com bandeira (1,00x0,80 m) - inclusive ferragens, conforme projeto de esquadrias</t>
  </si>
  <si>
    <t>und</t>
  </si>
  <si>
    <t>7.2</t>
  </si>
  <si>
    <t>Porta de madeira (0,90x2,10 m) - inclusive ferragens, conforme projeto de esquadrias</t>
  </si>
  <si>
    <t>7.3</t>
  </si>
  <si>
    <t xml:space="preserve">Porta de madeira - Banheiros e Sanitários (0,60 m) completa inclusive targeta metálica </t>
  </si>
  <si>
    <t>7.4</t>
  </si>
  <si>
    <t xml:space="preserve">Porta de madeira - Banheiros e Sanitários (0,80 m)  completa inclusive targeta metálica - WC PNE </t>
  </si>
  <si>
    <t>REVESTIMENTOS</t>
  </si>
  <si>
    <t>8.1</t>
  </si>
  <si>
    <t>Chapisco c/ argamassa de cimento e areia s/ peneirar traço 1:3 esp.= 5mm p/ parede</t>
  </si>
  <si>
    <t>8.2</t>
  </si>
  <si>
    <t>Emboço c/ argamassa de cimento e areia s/ peneirar, traço 1:7</t>
  </si>
  <si>
    <t>8.3</t>
  </si>
  <si>
    <t>Reboco c/argamassa pré-fabricada, adesivo de alta resistência p/tinta epóxi esp= 5mm p/parede</t>
  </si>
  <si>
    <t>8.4</t>
  </si>
  <si>
    <t>Revestimento cerâmico de paredes PEI IV - cerâmica 20 x 20 cm - incl. rejunte - conforme projeto</t>
  </si>
  <si>
    <t>8.5</t>
  </si>
  <si>
    <t>Revestimento cerâmico de paredes PEI IV - cerâmica 10 x 10 cm - incl. rejunte - conforme projeto</t>
  </si>
  <si>
    <t>PISOS</t>
  </si>
  <si>
    <t>9.1</t>
  </si>
  <si>
    <t>Lastro de brita graduada apiloada (esp.=6 cm)</t>
  </si>
  <si>
    <t>9.2</t>
  </si>
  <si>
    <t>Piso em concreto armado com tela e juntas de dilatação (esp.=10cm)</t>
  </si>
  <si>
    <t>9.3</t>
  </si>
  <si>
    <t>Piso em concreto simples desempolado (esp.=5cm), inclusive contrapiso</t>
  </si>
  <si>
    <t>9.4</t>
  </si>
  <si>
    <t>Junta de retração, serrada com disco diamantado, para pavimentos em placa de concreto, profund.= 5cm, inclusive preenchimento com mastique</t>
  </si>
  <si>
    <t>m</t>
  </si>
  <si>
    <t>9.5</t>
  </si>
  <si>
    <t xml:space="preserve">Piso cerâmico esmaltado PEI V - 33 x 33 cm - incl. rejunte - conforme projeto </t>
  </si>
  <si>
    <t>PINTURA</t>
  </si>
  <si>
    <t>10.1</t>
  </si>
  <si>
    <t>Aplicação de selador acrílico</t>
  </si>
  <si>
    <t>10.2</t>
  </si>
  <si>
    <t>Demarcação de quadra com tinta acrílica</t>
  </si>
  <si>
    <t>10.3</t>
  </si>
  <si>
    <t>Emassamento de superfície, com aplicação de 02 demãos de massa acrílica</t>
  </si>
  <si>
    <t>10.4</t>
  </si>
  <si>
    <t>Esmalte sintético em estrutura de aço carbono 50 micra com revólver</t>
  </si>
  <si>
    <t>10.5</t>
  </si>
  <si>
    <t>Pintura c/ primer epoxi em estrutura de aço carbono 25 micra com revólver</t>
  </si>
  <si>
    <t>10.6</t>
  </si>
  <si>
    <t>Pintura de acabamento com aplicação de 02 demaõs de tinta acrílica</t>
  </si>
  <si>
    <t>10.7</t>
  </si>
  <si>
    <t>Pintura de piso com tinta à base de resina epóxi</t>
  </si>
  <si>
    <t>10.8</t>
  </si>
  <si>
    <t>Pintura em tinta PVA latex (02 demãos), inclusive emassamento</t>
  </si>
  <si>
    <t>INSTALAÇÕES HIDRÁULICAS</t>
  </si>
  <si>
    <t>11.1</t>
  </si>
  <si>
    <t>Adaptador soldável curto c/ bolsa-rosca para registro 20 mm - 1/2"</t>
  </si>
  <si>
    <t>11.2</t>
  </si>
  <si>
    <t>Adaptador soldável curto c/ bolsa-rosca para registro 25 mm - 3/4"</t>
  </si>
  <si>
    <t>11.3</t>
  </si>
  <si>
    <t>Adaptador soldável curto c/ bolsa-rosca para registro 32 mm - 1"</t>
  </si>
  <si>
    <t>11.4</t>
  </si>
  <si>
    <t>Adaptador soldável curto c/ bolsa-rosca para registro 50 mm -1.1/2"</t>
  </si>
  <si>
    <t>11.5</t>
  </si>
  <si>
    <t>Bucha de redução soldável curta 50 mm - 40 mm</t>
  </si>
  <si>
    <t>11.6</t>
  </si>
  <si>
    <t>Bucha de redução soldável longa 40 mm - 25 mm</t>
  </si>
  <si>
    <t>11.7</t>
  </si>
  <si>
    <t>Caixa d´água em fibra de vidro - cap. 3.000 litros</t>
  </si>
  <si>
    <t>11.8</t>
  </si>
  <si>
    <t>Engate flexível plástico</t>
  </si>
  <si>
    <t>11.9</t>
  </si>
  <si>
    <t>Flange para caixa dágua 25 mm</t>
  </si>
  <si>
    <t>11.10</t>
  </si>
  <si>
    <t>Flange para caixa dágua 50 mm</t>
  </si>
  <si>
    <t>11.11</t>
  </si>
  <si>
    <t>Joelho 90º soldável 25 mm</t>
  </si>
  <si>
    <t>11.12</t>
  </si>
  <si>
    <t>Joelho 90º soldável 32 mm</t>
  </si>
  <si>
    <t>11.13</t>
  </si>
  <si>
    <t>Joelho 90º soldável 50 mm</t>
  </si>
  <si>
    <t>11.14</t>
  </si>
  <si>
    <t>Joelho 90º soldável com bucha de latão - 20 mm - 1/2"</t>
  </si>
  <si>
    <t>11.15</t>
  </si>
  <si>
    <t>Joelho de redução 90º soldável 32 mm - 25 mm</t>
  </si>
  <si>
    <t>11.16</t>
  </si>
  <si>
    <t>Joelho de redução 90º soldável com bucha de latão 25 mm - 1/2"</t>
  </si>
  <si>
    <t>11.17</t>
  </si>
  <si>
    <t>Luva de redução soldável 40 mm - 32 mm</t>
  </si>
  <si>
    <t>11.18</t>
  </si>
  <si>
    <t>Luva de redução soldável 50 mm - 20 mm</t>
  </si>
  <si>
    <t>11.19</t>
  </si>
  <si>
    <t>Luva soldável 32 mm</t>
  </si>
  <si>
    <t>11.20</t>
  </si>
  <si>
    <t>Luva soldável com rosca - 3/4"</t>
  </si>
  <si>
    <t>11.21</t>
  </si>
  <si>
    <t>Registro de gaveta c/ canopla cromada (1")</t>
  </si>
  <si>
    <t>11.22</t>
  </si>
  <si>
    <t>Registro de gaveta c/ canopla cromada (1.1/2")</t>
  </si>
  <si>
    <t>11.23</t>
  </si>
  <si>
    <t>Registro de gaveta c/ canopla cromada (1/2")</t>
  </si>
  <si>
    <t>11.24</t>
  </si>
  <si>
    <t>Registro de gaveta c/ canopla cromada (3/4")</t>
  </si>
  <si>
    <t>11.25</t>
  </si>
  <si>
    <t>Registro de pressão c/ canopla cromada (3/4")</t>
  </si>
  <si>
    <t>11.26</t>
  </si>
  <si>
    <t>Tê 90º soldável - 25 mm</t>
  </si>
  <si>
    <t>11.27</t>
  </si>
  <si>
    <t>Tê 90º soldável - 40 mm</t>
  </si>
  <si>
    <t>11.28</t>
  </si>
  <si>
    <t>Tê 90º soldável - 50 mm</t>
  </si>
  <si>
    <t>11.29</t>
  </si>
  <si>
    <t>Tê de redução 90º soldável 32 mm - 25 mm</t>
  </si>
  <si>
    <t>11.30</t>
  </si>
  <si>
    <t>Tê de redução 90º soldável 50 mm - 40 mm</t>
  </si>
  <si>
    <t>11.31</t>
  </si>
  <si>
    <t>Torneira cromada para lavatório 1/2"</t>
  </si>
  <si>
    <t>11.32</t>
  </si>
  <si>
    <t>Torneira de bóia p/caixa d'agua em pvc d = 3/4"</t>
  </si>
  <si>
    <t>11.33</t>
  </si>
  <si>
    <t>Tubo PVC rígido soldável - 20 mm</t>
  </si>
  <si>
    <t>11.34</t>
  </si>
  <si>
    <t>Tubo PVC rígido soldável - 25 mm</t>
  </si>
  <si>
    <t>11.35</t>
  </si>
  <si>
    <t>Tubo PVC rígido soldável - 32 mm</t>
  </si>
  <si>
    <t>11.36</t>
  </si>
  <si>
    <t>Tubo PVC rígido soldável - 40 mm</t>
  </si>
  <si>
    <t>11.37</t>
  </si>
  <si>
    <t>Tubo PVC rígido soldável - 50 mm</t>
  </si>
  <si>
    <t>11.38</t>
  </si>
  <si>
    <t>União soldável - 20 mm</t>
  </si>
  <si>
    <t>11.39</t>
  </si>
  <si>
    <t>União soldável - 50 mm</t>
  </si>
  <si>
    <t>11.40</t>
  </si>
  <si>
    <t>Vaso sanitario para deficientes físicos para válvula de descarga, em louca branca, com acessórios, inclusive assento, conjunto de fixação, anel de vedação, tubo PVC de ligação</t>
  </si>
  <si>
    <t>11.41</t>
  </si>
  <si>
    <t>Vaso sanitario sifonado, para válvula de descarga, em louca branca, com acessórios, inclusive assento plástico, anel de vedação, tubo PVC de ligação</t>
  </si>
  <si>
    <t>INSTALAÇÕES SANITÁRIAS</t>
  </si>
  <si>
    <t>12.1</t>
  </si>
  <si>
    <t>Bucha de redução longa 50 mm - 40 mm</t>
  </si>
  <si>
    <t>12.2</t>
  </si>
  <si>
    <t>Caixa de inspeção de esgoto sifonada (60x60 cm)</t>
  </si>
  <si>
    <t>12.3</t>
  </si>
  <si>
    <t>Caixa sifonada (100x100x50 mm)</t>
  </si>
  <si>
    <t>12.4</t>
  </si>
  <si>
    <t>Caixa sifonada (150x150x50 mm)</t>
  </si>
  <si>
    <t>12.5</t>
  </si>
  <si>
    <t>Curva 90º curta - 40 mm</t>
  </si>
  <si>
    <t>12.6</t>
  </si>
  <si>
    <t>Fossa séptica, em concreto armado, (d 2,50 x h 12,00)</t>
  </si>
  <si>
    <t>12.7</t>
  </si>
  <si>
    <t>Joelho 45º - 40 mm</t>
  </si>
  <si>
    <t>12.8</t>
  </si>
  <si>
    <t>Joelho 45º -50 mm</t>
  </si>
  <si>
    <t>12.9</t>
  </si>
  <si>
    <t>Joelho 90º - 100 mm</t>
  </si>
  <si>
    <t>12.10</t>
  </si>
  <si>
    <t>Joelho 90º c/ anel p/ esgoto secundário 40 mm - 1.1/2"</t>
  </si>
  <si>
    <t>12.11</t>
  </si>
  <si>
    <t>Junção simples 100 mm - 100 mm</t>
  </si>
  <si>
    <t>12.12</t>
  </si>
  <si>
    <t>Junção simples 100 mm - 50 mm</t>
  </si>
  <si>
    <t>12.13</t>
  </si>
  <si>
    <t>Junção simples 50 mm - 50 mm</t>
  </si>
  <si>
    <t>12.14</t>
  </si>
  <si>
    <t>Sifão de copo para pia e lavatório 1" - 1.1/2"</t>
  </si>
  <si>
    <t>12.15</t>
  </si>
  <si>
    <t>Sumidouro em alvenaria (d 2,30 x h 6,00)</t>
  </si>
  <si>
    <t>12.16</t>
  </si>
  <si>
    <t>Tê sanitário 100 mm - 50 mm</t>
  </si>
  <si>
    <t>12.17</t>
  </si>
  <si>
    <t>Tubo PVC ponta e bolsa c/ virola - 50 mm</t>
  </si>
  <si>
    <t>12.18</t>
  </si>
  <si>
    <t>Tubo rígido c/ ponta lisa 100 mm</t>
  </si>
  <si>
    <t>12.19</t>
  </si>
  <si>
    <t>Tubo rígido c/ ponta lisa 40 mm</t>
  </si>
  <si>
    <t>12.20</t>
  </si>
  <si>
    <t>Tubo rígido c/ ponta lisa 50 mm</t>
  </si>
  <si>
    <t>12.21</t>
  </si>
  <si>
    <t>Válvula para lavatório e tamque 1"</t>
  </si>
  <si>
    <t>DRENAGEM PLUVIAL</t>
  </si>
  <si>
    <t>13.1</t>
  </si>
  <si>
    <t>Calha em chapa de aço galvanizado n° 24</t>
  </si>
  <si>
    <t>13.2</t>
  </si>
  <si>
    <t>Tubo de queda -  água pluvial DN=150 mm</t>
  </si>
  <si>
    <t>13.3</t>
  </si>
  <si>
    <t>Joelho PVC 90° d=150 mm - tubulação pluvial</t>
  </si>
  <si>
    <t>13.4</t>
  </si>
  <si>
    <t>Ralo hemisférico tipo "abacaxi" com tela de aço com funil de saída cônico</t>
  </si>
  <si>
    <t>13.5</t>
  </si>
  <si>
    <t>Canaleta de concreto c/ tampa removível em chapa de aço (0,25 x 0,25 x 0,25m)</t>
  </si>
  <si>
    <t>INSTALAÇÕES ELÉTRICAS 220/380</t>
  </si>
  <si>
    <t>14.1</t>
  </si>
  <si>
    <t>Condulete em alumínio tipo T de 3/4", inclusive acessórios</t>
  </si>
  <si>
    <t>14.2</t>
  </si>
  <si>
    <t>Condulete em alumínio tipo L de 3/4", inclusive acessórios</t>
  </si>
  <si>
    <t>14.3</t>
  </si>
  <si>
    <t>Condulete em alumínio tipo TA de 3/4", inclusive acessórios</t>
  </si>
  <si>
    <t>14.4</t>
  </si>
  <si>
    <t>Condulete em alumínio tipo XA de 3/4", inclusive acessórios</t>
  </si>
  <si>
    <t>14.5</t>
  </si>
  <si>
    <t>Caixa de PVC 4x2", inclusive espelho</t>
  </si>
  <si>
    <t>14.6</t>
  </si>
  <si>
    <t>Caixa PVC octogonal 4x4"</t>
  </si>
  <si>
    <t>14.7</t>
  </si>
  <si>
    <t>Condutor de cobre unipolar, isolação em PVC/70ºC, camada de proteção em PVC, não propagador de chamas, classe de tensão 750V, encordoamento classe 5, flexível, com seção 2,5 mm²</t>
  </si>
  <si>
    <t>14.8</t>
  </si>
  <si>
    <t>Condutor de cobre unipolar, isolação em PVC/70ºC, camada de proteção em PVC, não propagador de chamas, classe de tensão 750V, encordoamento classe 5, flexível, com seção 4 mm²</t>
  </si>
  <si>
    <t>14.9</t>
  </si>
  <si>
    <t>Condutor de cobre unipolar, isolação em PVC/70ºC, camada de proteção em PVC, não propagador de chamas, classe de tensão 750V, encordoamento classe 5, flexível, com seção 16 mm²</t>
  </si>
  <si>
    <t>14.10</t>
  </si>
  <si>
    <t>Condutor de cobre unipolar, isolação em PVC/90ºC, camada de proteção em PVC, não propagador de chamas, classe de tensão 1000V, encordoamento classe 5, flexível, com seção 35 mm²</t>
  </si>
  <si>
    <t>14.11</t>
  </si>
  <si>
    <t>Tomada 2p + t de embutir, 10 A, completa</t>
  </si>
  <si>
    <t>14.12</t>
  </si>
  <si>
    <t>Tomada 2p + t para piso, 10 A, completa</t>
  </si>
  <si>
    <t>14.13</t>
  </si>
  <si>
    <t>Interruptor 1 tecla simples</t>
  </si>
  <si>
    <t>14.14</t>
  </si>
  <si>
    <t>Disjuntor termomagnetico monopolar 10 A, padrão DIN (linha branca)</t>
  </si>
  <si>
    <t>14.15</t>
  </si>
  <si>
    <t>Disjuntor termomagnetico binopolar 20 A, padrão DIN (linha branca)</t>
  </si>
  <si>
    <t>14.16</t>
  </si>
  <si>
    <t>Disjuntor termomagnetico binopolar 25 A, padrão DIN (linha branca)</t>
  </si>
  <si>
    <t>14.17</t>
  </si>
  <si>
    <t>Disjuntor termomagnetico triopolar 150 A, padrão DIN (linha branca)</t>
  </si>
  <si>
    <t>14.18</t>
  </si>
  <si>
    <t>Disjuntor termomagnetico triopolar 175 A, padrão DIN (linha branca)</t>
  </si>
  <si>
    <t>14.19</t>
  </si>
  <si>
    <t>Dispositivo residual diferencial - DR 125A In 30 mA</t>
  </si>
  <si>
    <t>14.20</t>
  </si>
  <si>
    <t>Quadro de distribuição de embutir, com barramento, em chapa de aço, para 4 disjuntores unipolares + 8 bipolares + 1 tripolar + 1 DR, padrão europeu (linha branca), exclusive disjuntores</t>
  </si>
  <si>
    <t>14.21</t>
  </si>
  <si>
    <t>Quadro de distribuição de embutir, com barramento, em chapa de aço, para 1 disjuntor unipolar + 5 bipolares + 2 tripolares, padrão europeu (linha branca), exclusive disjuntores</t>
  </si>
  <si>
    <t>14.22</t>
  </si>
  <si>
    <t>Eletroduto de pvc rígido roscável, 1", inclusive curvas</t>
  </si>
  <si>
    <t>14.23</t>
  </si>
  <si>
    <t>Eletroduto de pvc rígido roscável, 3/4", inclusive curvas</t>
  </si>
  <si>
    <t>14.24</t>
  </si>
  <si>
    <t>Eletroduto de pvc rígido roscável, 1.1/2", inclusive curvas</t>
  </si>
  <si>
    <t>14.25</t>
  </si>
  <si>
    <t>Eletroduto de ferro galvanizado d= 3/4" - inclusive braçadeiras</t>
  </si>
  <si>
    <t>14.26</t>
  </si>
  <si>
    <t>Eletroduto de ferro galvanizado d= 1" - inclusive braçadeiras</t>
  </si>
  <si>
    <t>14.27</t>
  </si>
  <si>
    <t>Eletroduto de ferro galvanizado d= 1.1/2" - inclusive braçadeiras</t>
  </si>
  <si>
    <t>14.28</t>
  </si>
  <si>
    <t>Luminária calha sobrepor p/lamp.fluorescente 2x40w, completa, incl.reator eletronico e lampadas</t>
  </si>
  <si>
    <t>14.29</t>
  </si>
  <si>
    <t>Luminária calha sobrepor p/lamp.fluorescente 1x40w, completa, incl.reator eletronico e lampadas</t>
  </si>
  <si>
    <t>14.30</t>
  </si>
  <si>
    <t xml:space="preserve">Luminária blindada p/ alta pressão, linha industrial projetor hermético para lâmpada de luz mista de  500 W, com proteção da lâmpada </t>
  </si>
  <si>
    <t>SISTEMA DE PROTEÇÃO CONTRA DESCARGAS ATMOSFÉRICAS (SPDA)</t>
  </si>
  <si>
    <t>15.1</t>
  </si>
  <si>
    <t>Caixa de inspeção 30x30x40 cm com tampa de ferro fundido</t>
  </si>
  <si>
    <t>15.2</t>
  </si>
  <si>
    <t>Conector de bronze para haste 5/8"</t>
  </si>
  <si>
    <t>15.3</t>
  </si>
  <si>
    <t>Cordoalha de cobre nu 35 mm²</t>
  </si>
  <si>
    <t>15.4</t>
  </si>
  <si>
    <t>Haste tipo Coopperweld 5/8" - 3m</t>
  </si>
  <si>
    <t>15.5</t>
  </si>
  <si>
    <t>Tubo PVC 40 mm</t>
  </si>
  <si>
    <t>15.6</t>
  </si>
  <si>
    <t>Terminal de pressão tipo prensa com 4 parafusos</t>
  </si>
  <si>
    <t>SERVIÇOS DIVERSOS</t>
  </si>
  <si>
    <t>16.1</t>
  </si>
  <si>
    <t>Alambrado com tela de arame galvanizado fio 12 bwg, malha 2", revestido em pvc, fixada com tubos de ferro galvanizado 2"</t>
  </si>
  <si>
    <t>16.2</t>
  </si>
  <si>
    <t>Portão em tubo de ferro galvanizado 2" e tela de arame galvanizado fio 12 bwg, malha 2", revestido em pvc, inclusive dobradiças e fechadura</t>
  </si>
  <si>
    <t>16.3</t>
  </si>
  <si>
    <t>Bancada em granito cinza andorinha para lavatório com testeiras - espessura 2cm, largura 50 cm, conforme projeto</t>
  </si>
  <si>
    <t>16.4</t>
  </si>
  <si>
    <t>Banco de concreto armado polido (l=0,45m) sem arestas, conforme projeto</t>
  </si>
  <si>
    <t>16.5</t>
  </si>
  <si>
    <t>Barra de apoio para deficiente em ferro galvanizado de 11/2", l = 140cm (lavatório), inclusive parafusos de fixação e pintura</t>
  </si>
  <si>
    <t>16.6</t>
  </si>
  <si>
    <t>Barra de apoio para deficiente em ferro galvanizado de 11/2", l = 80cm (bacia sanitária e mictório), inclusive parafusos de fixação e pintura</t>
  </si>
  <si>
    <t>16.7</t>
  </si>
  <si>
    <t>Espelho plano 4mm</t>
  </si>
  <si>
    <t>16.8</t>
  </si>
  <si>
    <t>Estrutura metálica c/ tabelas de basquete</t>
  </si>
  <si>
    <t>cj</t>
  </si>
  <si>
    <t>16.9</t>
  </si>
  <si>
    <t>Estrutura metálica de traves de futsal</t>
  </si>
  <si>
    <t>16.10</t>
  </si>
  <si>
    <t>Estrutura metálica p/ rede de voley</t>
  </si>
  <si>
    <t>16.11</t>
  </si>
  <si>
    <t>Soleira em granito cinza andorinha, l = 15 cm, e = 2 cm</t>
  </si>
  <si>
    <t>16.12</t>
  </si>
  <si>
    <t>Limpeza geral</t>
  </si>
  <si>
    <t xml:space="preserve"> TOTAL </t>
  </si>
  <si>
    <t>PREFEITURA MUNICIPAL DE ITAPOROROCA</t>
  </si>
  <si>
    <t>QUANT.</t>
  </si>
  <si>
    <t>CONTRATADA: J FORTES ENGENHARIA</t>
  </si>
  <si>
    <t>OBRA: CONCLUSÃO DAS OBRAS DE UMA QUADRA COBERTA COM VESTUÁRIO, COM RECURSOS DO PAC 2 - FNDE</t>
  </si>
  <si>
    <t>ITEM</t>
  </si>
  <si>
    <t>DESCRIÇÃO</t>
  </si>
  <si>
    <t>UNID</t>
  </si>
  <si>
    <t>Contratante</t>
  </si>
  <si>
    <t>BM - número</t>
  </si>
  <si>
    <t>BM - Data emissão</t>
  </si>
  <si>
    <t xml:space="preserve">BM - Período de referência </t>
  </si>
  <si>
    <t>Data do CT</t>
  </si>
  <si>
    <t>Empresa Contratada</t>
  </si>
  <si>
    <t>CNPJ</t>
  </si>
  <si>
    <t>Início da obra - data</t>
  </si>
  <si>
    <t xml:space="preserve">Previsão Término </t>
  </si>
  <si>
    <t xml:space="preserve">Termo de Compromisso </t>
  </si>
  <si>
    <t xml:space="preserve">Objeto </t>
  </si>
  <si>
    <t>Local da obra ( Bairro / Município / UF)</t>
  </si>
  <si>
    <t>Valor do Contrato (R$)</t>
  </si>
  <si>
    <t>RUA FREI DAMIÃO BOZZANO, 07 - CENTRO - ITAPOROROCA - PB.</t>
  </si>
  <si>
    <t>Preço Unitário</t>
  </si>
  <si>
    <t>Medido no período</t>
  </si>
  <si>
    <t>Acumulado inclusive o período</t>
  </si>
  <si>
    <t>Previsto no Orçamento</t>
  </si>
  <si>
    <t>Acumulado até o período anterior</t>
  </si>
  <si>
    <t>Acum inclusive
o período</t>
  </si>
  <si>
    <t>Executado Financeiro (R$)</t>
  </si>
  <si>
    <t>Executado Físico (%)</t>
  </si>
  <si>
    <t>Acum até o
período anterior</t>
  </si>
  <si>
    <t>9731/2014 PAC 2</t>
  </si>
  <si>
    <t>Valor Medido no Período</t>
  </si>
  <si>
    <t>18.228.092/0001-27</t>
  </si>
  <si>
    <t>BOLETIM DE MEDIÇÃO</t>
  </si>
  <si>
    <t>CONCLUSÃO DAS OBRAS DE UMA QUADRA COBERTA COM VESTUÁRIO, COM RECURSOS DO PAC 2 - FNDE.</t>
  </si>
  <si>
    <t>CLARICE MARIA LIMA FORTES</t>
  </si>
  <si>
    <t>M2</t>
  </si>
  <si>
    <t>Quantidade Medida no período 1</t>
  </si>
  <si>
    <t>Quantidade Medida no período 2</t>
  </si>
  <si>
    <t>Quantidade Medida no período 3</t>
  </si>
  <si>
    <t>Quantidade Medida no período 4</t>
  </si>
  <si>
    <t>1ª Medição</t>
  </si>
  <si>
    <t>2ª Medição</t>
  </si>
  <si>
    <t>3ª Medição</t>
  </si>
  <si>
    <t>4ª Medição</t>
  </si>
  <si>
    <t>RESUMO MEDIÇÃO</t>
  </si>
  <si>
    <t>VALOR MEDIÇÃO</t>
  </si>
  <si>
    <t>STATUS</t>
  </si>
  <si>
    <t>PAGA</t>
  </si>
  <si>
    <t>TOTAL PAGO</t>
  </si>
  <si>
    <t>A PAGAR</t>
  </si>
  <si>
    <t>TOTAL GERAL</t>
  </si>
  <si>
    <t>VALOR DO CONTRATO</t>
  </si>
  <si>
    <t>Quantidade Medida no período 5</t>
  </si>
  <si>
    <t>M²</t>
  </si>
  <si>
    <t xml:space="preserve"> Arcos</t>
  </si>
  <si>
    <t>Arcos</t>
  </si>
  <si>
    <t>Total de arcos a serem executados</t>
  </si>
  <si>
    <t>Estrutura de aço em arco vão de 30m Total a ser executada</t>
  </si>
  <si>
    <t>Quantidade de arcos executados até o momento</t>
  </si>
  <si>
    <t>Quantidade equivalente em m² - 2,00 arcos</t>
  </si>
  <si>
    <t>Equivalente em percentual executado</t>
  </si>
  <si>
    <t>Equivalente executado (m²)</t>
  </si>
  <si>
    <t>5ª Medição</t>
  </si>
  <si>
    <t>SALDO A MEDIR A PARTIR DA 5ª MEDIÇÃO</t>
  </si>
  <si>
    <t>(1.140,00m² X 2 arcos ) / 7 arcos</t>
  </si>
  <si>
    <t>1.114,00m² de construção - 7,0 unid de arcos</t>
  </si>
  <si>
    <t>Quantidade Medida no período 6</t>
  </si>
  <si>
    <t>SALDO A MEDIR A PARTIR DA 6ª MEDIÇÃO</t>
  </si>
  <si>
    <t>6ª Medição</t>
  </si>
  <si>
    <t>Quantidade Medida no período 7</t>
  </si>
  <si>
    <t>Quantidade Medida no período 8</t>
  </si>
  <si>
    <t>Quantidade Medida no período 9</t>
  </si>
  <si>
    <t>20/12/2017 a 31/01/2018</t>
  </si>
  <si>
    <t>9ª MEDIÇÃO - MEMÓRIA DE CALCULO</t>
  </si>
  <si>
    <t>SINAPI 04/16</t>
  </si>
  <si>
    <t>Fonte</t>
  </si>
  <si>
    <t>74209/001</t>
  </si>
  <si>
    <t>74077/003</t>
  </si>
  <si>
    <t>C2849</t>
  </si>
  <si>
    <t>73960/001</t>
  </si>
  <si>
    <t>C2851</t>
  </si>
  <si>
    <t>73965/010</t>
  </si>
  <si>
    <t>COMPOSIÇÃO</t>
  </si>
  <si>
    <t>73964/006</t>
  </si>
  <si>
    <t>C2530</t>
  </si>
  <si>
    <t>73907/006</t>
  </si>
  <si>
    <t>11262/ORSE</t>
  </si>
  <si>
    <t>07396/ORSE</t>
  </si>
  <si>
    <t>74106/001</t>
  </si>
  <si>
    <t>01074/ORSE</t>
  </si>
  <si>
    <t>01081/ORSE</t>
  </si>
  <si>
    <t>04964/ORSE</t>
  </si>
  <si>
    <t>01114/ORSE</t>
  </si>
  <si>
    <t>04965/ORSE</t>
  </si>
  <si>
    <t>01160/ORSE</t>
  </si>
  <si>
    <t>01170/ORSE</t>
  </si>
  <si>
    <t>01171/ORSE</t>
  </si>
  <si>
    <t>01177/ORSE</t>
  </si>
  <si>
    <t>01182/ORSE</t>
  </si>
  <si>
    <t>01027/ORSE</t>
  </si>
  <si>
    <t>01028/ORSE</t>
  </si>
  <si>
    <t>01029/ORSE</t>
  </si>
  <si>
    <t>01030/ORSE</t>
  </si>
  <si>
    <t>custo inicial</t>
  </si>
  <si>
    <t>11644/ORSE</t>
  </si>
  <si>
    <t>95956/SINAPI</t>
  </si>
  <si>
    <t>742021/SINAPI</t>
  </si>
  <si>
    <t>00152/ORSE</t>
  </si>
  <si>
    <t>00154/ORSE</t>
  </si>
  <si>
    <t>Elemento vazado de concreto (40x40x7cm) assentados com argamassa (cimento e areia traço 1:3)</t>
  </si>
  <si>
    <t>739373/SINAPI</t>
  </si>
  <si>
    <t>739371/SINAPI</t>
  </si>
  <si>
    <t>90844/SINAPI</t>
  </si>
  <si>
    <t>91328/SINAP</t>
  </si>
  <si>
    <t>91332/SINAPi</t>
  </si>
  <si>
    <t>91333/SINAP</t>
  </si>
  <si>
    <t>87893/SINAPI</t>
  </si>
  <si>
    <t>89173/SINAPI</t>
  </si>
  <si>
    <t>03315/ORSE</t>
  </si>
  <si>
    <t>11366/ORSE</t>
  </si>
  <si>
    <t>89045/SINAPI</t>
  </si>
  <si>
    <t>09962/ORSE</t>
  </si>
  <si>
    <t>07681/ORSE</t>
  </si>
  <si>
    <t>10169/ORSE</t>
  </si>
  <si>
    <t>88483/SINAPI</t>
  </si>
  <si>
    <t>41595/SINAPI</t>
  </si>
  <si>
    <t>08624/ORSE</t>
  </si>
  <si>
    <t>07695/ORSE</t>
  </si>
  <si>
    <t>02339/ORSE</t>
  </si>
  <si>
    <t>72815/SINAPI</t>
  </si>
  <si>
    <t>quant. Acumulada</t>
  </si>
  <si>
    <t>02291/ORSE</t>
  </si>
  <si>
    <t>01430/ORSE</t>
  </si>
  <si>
    <t>86884/SINAPI</t>
  </si>
  <si>
    <t>09963/ORSE</t>
  </si>
  <si>
    <t>86915/SINAPI</t>
  </si>
  <si>
    <t>04281/ORSE</t>
  </si>
  <si>
    <t>02060/ORSE</t>
  </si>
  <si>
    <t>04282/ORSE</t>
  </si>
  <si>
    <t>86882/SINAPI</t>
  </si>
  <si>
    <t>09965/ORSE</t>
  </si>
  <si>
    <t>07752/ORSE</t>
  </si>
  <si>
    <t>04421/ORSE</t>
  </si>
  <si>
    <t>95795/SINAPI</t>
  </si>
  <si>
    <t>95808/SINAPI</t>
  </si>
  <si>
    <t>09933/ORSE</t>
  </si>
  <si>
    <t>00784/ORSE</t>
  </si>
  <si>
    <t>11186/ORSE</t>
  </si>
  <si>
    <t>11187/ORSE</t>
  </si>
  <si>
    <t>03801/ORSE</t>
  </si>
  <si>
    <t>09968/ORSE</t>
  </si>
  <si>
    <t>00780/ORSE</t>
  </si>
  <si>
    <t>00478/ORSE</t>
  </si>
  <si>
    <t>92025/SINAPI</t>
  </si>
  <si>
    <t>93653/SINAPI</t>
  </si>
  <si>
    <t>93662/SINAPI</t>
  </si>
  <si>
    <t>93663/SINAPI</t>
  </si>
  <si>
    <t>SINAPI/39464</t>
  </si>
  <si>
    <t>03954/ORSE</t>
  </si>
  <si>
    <t>00570/ORSE</t>
  </si>
  <si>
    <t>12034/ORSE</t>
  </si>
  <si>
    <t>10759/ORSE</t>
  </si>
  <si>
    <t>02410/ORSE</t>
  </si>
  <si>
    <t>08492/ORSE</t>
  </si>
  <si>
    <t>01889/ORSE</t>
  </si>
  <si>
    <t>BDI</t>
  </si>
  <si>
    <t>Saldo de Quantidades</t>
  </si>
  <si>
    <t>Obra: CONSTRUÇÃO DE QUADRA COBERTA COM VESTIÁRIO (25,80x38m)</t>
  </si>
  <si>
    <t>Município: Itapororoca</t>
  </si>
  <si>
    <t>Endereço: Conjunto Urbano</t>
  </si>
  <si>
    <t xml:space="preserve">Planilha Orçamentária </t>
  </si>
  <si>
    <t>Quant. saldo</t>
  </si>
  <si>
    <t>Total (R$)</t>
  </si>
  <si>
    <t>Quantidade Medida no período 10</t>
  </si>
  <si>
    <t>14.0</t>
  </si>
  <si>
    <t>JOSE DIONISIO DA SILVA FILHO EIRELI</t>
  </si>
  <si>
    <t>33.375.398/0001-08</t>
  </si>
  <si>
    <t>1.0</t>
  </si>
  <si>
    <t>m3</t>
  </si>
  <si>
    <t>2.0</t>
  </si>
  <si>
    <t>3.0</t>
  </si>
  <si>
    <t>4.0</t>
  </si>
  <si>
    <t>6.0</t>
  </si>
  <si>
    <t>PAVIMENTAÇÃO</t>
  </si>
  <si>
    <t>6.3</t>
  </si>
  <si>
    <t>7.0</t>
  </si>
  <si>
    <t>8.0</t>
  </si>
  <si>
    <t>9.0</t>
  </si>
  <si>
    <t>ESTADO DA PARAÍBA</t>
  </si>
  <si>
    <t>MEMÓRIA DE CÁLCULO</t>
  </si>
  <si>
    <t>DESCRIÇÃO DOS SERVIÇOS</t>
  </si>
  <si>
    <t>UN.</t>
  </si>
  <si>
    <t>PREFEITURA MUNICIPAL DE BAYEUX</t>
  </si>
  <si>
    <t>CONSTRUÇÃO DE UBS – UNIDADE BÁSICA DE SAÚDE, PORTE II, NO BAIRRO COMERCIAL NORTE EM BAYEUX/PB</t>
  </si>
  <si>
    <t>018/2020 - FMS - PMBEX</t>
  </si>
  <si>
    <t>Locação convencional de obra, utilizando gabarito de tábuas corridas pontaletadas a cada 2,00m - 2 utilizações. AF_10/2018</t>
  </si>
  <si>
    <t>Entrada de energia ellétrica trífasica demanda entre 0 e 15,2kw - Ver 01</t>
  </si>
  <si>
    <t>Placa de obra em chapa de aço galvanizado</t>
  </si>
  <si>
    <t>Escavação manual de valas com profundidade menor ou igual a 1,30m. AF_03/2016</t>
  </si>
  <si>
    <t>INFRA ESTRUTURA: FUNDAÇÕES</t>
  </si>
  <si>
    <t>Sapatas Isoladas/Arranque dos Pilares</t>
  </si>
  <si>
    <t>Regularização e compactação de subleito até 20cm de espessura</t>
  </si>
  <si>
    <t>Lastro de concreto preparo mecânico, inclusos aditivo impermeabilizante, lançamento e adensamento</t>
  </si>
  <si>
    <t>3.1.4</t>
  </si>
  <si>
    <t>Fabricação, montagem e desmontagem de fôrma para sapata, em madeira serrada, E=25 mm, 4 utilizações. AF_06/2017</t>
  </si>
  <si>
    <t>3.1.5</t>
  </si>
  <si>
    <t>kg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</si>
  <si>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</si>
  <si>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</si>
  <si>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</si>
  <si>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</si>
  <si>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</si>
  <si>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</si>
  <si>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</si>
  <si>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</si>
  <si>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Lançamento com uso de baldes, adensamento e acabamento de concreto em estruturas. AF_12/2015</t>
  </si>
  <si>
    <t>3.1.14</t>
  </si>
  <si>
    <t>Alvenaria de Pedra Argamassada</t>
  </si>
  <si>
    <t>Embasamento com pedra argamassada utilizando argamassa de cimento e areia traço 1:4</t>
  </si>
  <si>
    <t>3.3</t>
  </si>
  <si>
    <t>Vigas Baldrame (cintamento)</t>
  </si>
  <si>
    <t>3.3.1</t>
  </si>
  <si>
    <t>Fabricação, montagem e desmontagem de fôrma para viga baldrame, em madeira serrada, E=25 mm, 4 utilizações. AF_06/2017</t>
  </si>
  <si>
    <t>3.3.2</t>
  </si>
  <si>
    <t>Armação de pilar ou viga de uma estrutura convencional de concreto armado em uma edificação térrea ou sobrado utilizando aço CA-60 de 5.0 mm - montagem. AF_12/2015</t>
  </si>
  <si>
    <t>3.3.3</t>
  </si>
  <si>
    <t>3.3.4</t>
  </si>
  <si>
    <t>Concreto Fck = 30Mpa, traço 1:2,1:2,5 (cimento/areia média/brita 1) - preparo mecânico com betoneira 400 L. AF_07/2016</t>
  </si>
  <si>
    <t>3.3.5</t>
  </si>
  <si>
    <t>Pilares (Térreo, Platimbanda e Caixa D'água)</t>
  </si>
  <si>
    <t>Montagem e desmontagem de fôrma de pilares retangulares e estruturas similares com área média das seções maior que 0,25 m², pé-direito simples, em chapa de madeira compensada plastificada, 18 utilizações. AF_12/2015</t>
  </si>
  <si>
    <t>Armação de pilar ou viga de uma estrutura convencional de concreto armado em uma edificação térrea ou sobrado, utilizando aço CA-60 de 5,0mm - montagem. AF_12/2015</t>
  </si>
  <si>
    <t>4.1.3</t>
  </si>
  <si>
    <t>Armação de pilar ou viga de uma estrutura convencional de concreto armado em uma edificação térrea ou sobrado, utilizando aço CA-50 de 10,0mm - montagem. AF_12/2015</t>
  </si>
  <si>
    <t>4.1.4</t>
  </si>
  <si>
    <t>Armação de pilar ou viga de uma estrutura convencional de concreto armado em uma edificação térrea ou sobrado, utilizando aço CA-50 de 12,5mm - montagem. AF_12/2015</t>
  </si>
  <si>
    <t>4.1.5</t>
  </si>
  <si>
    <t>Armação de pilar ou viga de uma estrutura convencional de concreto armado em uma edificação térrea ou sobrado, utilizando aço CA-50 de 16,0mm - montagem. AF_12/2015</t>
  </si>
  <si>
    <t>4.1.6</t>
  </si>
  <si>
    <t>Armação de pilar ou viga de uma estrutura convencional de concreto armado em uma edificação térrea ou sobrado, utilizando aço CA-50 de 20,0mm - montagem. AF_12/2015</t>
  </si>
  <si>
    <t>4.1.7</t>
  </si>
  <si>
    <t>Concreto Fck = 30Mpa, traço 1:2,1:2,5 (cimento/ areia média/ brita 1) - preparo mecânico com betoneira 400 L. AF_07/2016</t>
  </si>
  <si>
    <t>4.1.8</t>
  </si>
  <si>
    <t>Vigas Superiores(Térreo, Platimbanda e Caixa D'água)</t>
  </si>
  <si>
    <t>Montagem e desmontagem de fôrma de viga, escoramento metálico, pé-direito simples, em chapa de madeira plastificada, 18 utilizações, AF_12/2015</t>
  </si>
  <si>
    <t>4.2.3</t>
  </si>
  <si>
    <t>Armação de pilar ou viga de uma estrutura convencional de concreto armado em uma edificação térrea ou sobrado, utilizando aço CA-50 de 8,0mm - montagem. AF_12/2015</t>
  </si>
  <si>
    <t>4.2.4</t>
  </si>
  <si>
    <t>Armação de pilar ou viga de uma estrutura convencional de concreto armado em uma edificação térrea ou sobrado, utilizando aço CA-50 de 6,3mm - montagem. AF_12/2015</t>
  </si>
  <si>
    <t>4.2.5</t>
  </si>
  <si>
    <t>4.2.6</t>
  </si>
  <si>
    <t>4.2.7</t>
  </si>
  <si>
    <t>4.2.8</t>
  </si>
  <si>
    <t>4.2.9</t>
  </si>
  <si>
    <t>4.2.10</t>
  </si>
  <si>
    <t>Cinta de amarração em alvenaria moldado in loco com utilização de blocos canaleta. AF_03/2016</t>
  </si>
  <si>
    <t>Lajes (Térreo e Caixa D'água)</t>
  </si>
  <si>
    <t>Montagem e desmontagem de fôrma de laje maciça com área média maior que 20 m², pé-direito simples, em chapa de madeira compensada, plastificada, 18 utilizações, AF_12/2015</t>
  </si>
  <si>
    <t>4.3.2</t>
  </si>
  <si>
    <t>Armação de laje de uma estrutura convencional de concreto armado em uma edificação térrea ou sobrado utilizando aço CA-50 de 8,0 mm - montagem, AF_12/2015</t>
  </si>
  <si>
    <t>4.3.3</t>
  </si>
  <si>
    <t>Armação de laje de uma estrutura convencional de concreto armado em uma edificação térrea ou sobrado utilizando aço CA-50 de 10,0 mm - montagem, AF_12/2015</t>
  </si>
  <si>
    <t>4.3.4</t>
  </si>
  <si>
    <t>Armação de laje de uma estrutura convencional de concreto armado em uma edificação térrea ou sobrado utilizando aço CA-50 de 12,5 mm - montagem, AF_12/2015</t>
  </si>
  <si>
    <t>4.3.5</t>
  </si>
  <si>
    <t>4.3.6</t>
  </si>
  <si>
    <t>4.3.7</t>
  </si>
  <si>
    <t>Laje pré-moldada para forro, sobrecarga 100kg/m², vãos até 3,50m e=8cm,com lajotas e cap. com concreto Fck=20Mpa, 3cm, inter-eixo 38cm, com escoramento (reaproveitamento 3x) e ferragem negativa</t>
  </si>
  <si>
    <t>4.4</t>
  </si>
  <si>
    <t>Vergas e Contravergas</t>
  </si>
  <si>
    <t>4.4.1</t>
  </si>
  <si>
    <t>Verga pré-moldada para janelas com até 1,5m de vão. AF_03/2016</t>
  </si>
  <si>
    <t>4.4.2</t>
  </si>
  <si>
    <t>Verga pré-moldada para portas, portões e aberturas com até 1,5m de vão. AF_03/2016</t>
  </si>
  <si>
    <t>4.4.3</t>
  </si>
  <si>
    <t>Contraverga pré-moldada para vãos de até 1,5m de comprimento. AF_03/2016</t>
  </si>
  <si>
    <t>4.4.4</t>
  </si>
  <si>
    <t>Verga pré-moldada para portas, portões e aberturas com mais de 1,5m de vão. AF_03/2016</t>
  </si>
  <si>
    <t>5.00</t>
  </si>
  <si>
    <t>ELEVAÇÃO</t>
  </si>
  <si>
    <t>5.01</t>
  </si>
  <si>
    <t>Alvenaria de vedação de blocos cerâmicos furados na vertical de 9x19x39cm (espessura 9cm) de paredes com área líquida maior ou igual a 6m² sem vãos e argamassa de assentamento com preparo com betoneira. AF_06/2014</t>
  </si>
  <si>
    <t>Telha Fibrocimento</t>
  </si>
  <si>
    <t>6.1.1</t>
  </si>
  <si>
    <t>Cobertura em pollcarbonato alveolar de 8mm, fixado em peças de alumínio inclusive instalação</t>
  </si>
  <si>
    <t>6.1.2</t>
  </si>
  <si>
    <t>Fabricação e instalação de estrutura pontaletada de madeira não aparelhada para telhados com até 2 águas e para telha ondulada de fibrocimento, metálica, plástica ou termoacústica, incluso transporte verticaç. AF_12/2015</t>
  </si>
  <si>
    <t>6.1.3</t>
  </si>
  <si>
    <t>Trama de madeira composta por terças para  telhados de até 2 águas para telha estrutural de fibrocimento, incluso transporte vertical. AF_12/2015</t>
  </si>
  <si>
    <t>6.1.4</t>
  </si>
  <si>
    <t>Telhamento com telha ondulada de fibrocimento E = 6 mm, com recobrimento lateral de 1.1/4 de onda para telhado com inclinação máxima de 10º, com até 2 águas, incluso içamento. AF_08/2016</t>
  </si>
  <si>
    <t>Rufo, Calha e Imunização da Coberta</t>
  </si>
  <si>
    <t>6.2.1</t>
  </si>
  <si>
    <t>Rufo em chapa de aço galvanizado número 24, corte de 25 cm, incluso transporte vertical. AF_06/2018</t>
  </si>
  <si>
    <t>6.2.2</t>
  </si>
  <si>
    <t>Calha em chapa de aço galvanizado número 24, desenvolvimento de 33 cm, incluso transporte vertical. AF_06/2016</t>
  </si>
  <si>
    <t>Forro do Teto</t>
  </si>
  <si>
    <t>6.3.1</t>
  </si>
  <si>
    <t>Forro em placas de gesso, para ambientes comerciais. AF_05/2017_P</t>
  </si>
  <si>
    <t>IMPERMEABILIZAÇÕES</t>
  </si>
  <si>
    <t>Impermeabilização de superfície com manta asfáltica, uma camada, inclusive aplicação de primer asfáltico, E=3mm. AF_06/2018</t>
  </si>
  <si>
    <t>Portas</t>
  </si>
  <si>
    <t>8.1.1</t>
  </si>
  <si>
    <t>Porta em alumínio de abrir tipo veneziana com guarnição, fixação com parafusos - fornecimento e instalação. AF_08/2015</t>
  </si>
  <si>
    <t>8.1.2</t>
  </si>
  <si>
    <t>Porta em vidro temperado 10mm, na cor verde. Inclusive ferragens e acessórios e instalação</t>
  </si>
  <si>
    <t>8.1.3</t>
  </si>
  <si>
    <t>Grade de ferro d gradil em barra chata 3/4" x 1/8", inclusive ferrolho e dobradiçás conforme desenho</t>
  </si>
  <si>
    <t>8.1.4</t>
  </si>
  <si>
    <t>Kit de porta de madeira para pintura, semi-oca (leve ou média), padrão médio, 70x210cm, espessura de 3.5cm, itens inclusos: dobradiças, montagem e instalação do batente, fechadura com execução do furo - fornecimento e instalaçao. AF_08/2015</t>
  </si>
  <si>
    <t>8.1.5</t>
  </si>
  <si>
    <t>Kit de porta de madeira para pintura, semi-oca (leve ou média), padrão médio, 80x210cm, espessura de 3.5cm, itens inclusos: dobradiças, montagem e instalação do batente, fechadura com execução do furo - fornecimento e instalaçao. AF_08/2015</t>
  </si>
  <si>
    <t>8.1.6</t>
  </si>
  <si>
    <t>Kit de porta de madeira para pintura, semi-oca (leve ou média), padrão médio, 90x210cm, espessura de 3.5cm, itens inclusos: dobradiças, montagem e instalação do batente, fechadura com execução do furo - fornecimento e instalaçao. AF_08/2015</t>
  </si>
  <si>
    <t>8.1.7</t>
  </si>
  <si>
    <t>Poria em madeira de lei, de correr, LIsa, semi-oca 0,90x2,10m, inclusive batentes e ferragens</t>
  </si>
  <si>
    <t>8.1.8</t>
  </si>
  <si>
    <t>Poria em madeira compensada (canela), lisa, semi-oca, 2,00 x 2,10 m, com duas folhas, inclusive batentes e ferragens</t>
  </si>
  <si>
    <t>Janelas</t>
  </si>
  <si>
    <t>8.2.1</t>
  </si>
  <si>
    <t>Janela de alumínio de correr, 2 folhas, fixação com argamassa, com vidros, padronizada. AF_07/2016</t>
  </si>
  <si>
    <t>8.2.2</t>
  </si>
  <si>
    <t>Janela de alumínio maxim-ar, fixação com parafuso, vedação com espuma expansiva PU, com vidros,padronizada. AF_07/2016</t>
  </si>
  <si>
    <t>Caixa d'água 5 mil litros</t>
  </si>
  <si>
    <t>Adaptador com flange e anel de vedação, PVC, soldável, DN 50mm x 1.1/2, instalado em reservação de água de edificação que possua reservatório de fibra/fibrocimento, fornecimento e instalação. AF_06/2016</t>
  </si>
  <si>
    <t>Adaptador com flange e anel de vedação, PVC, soldável, DN 25mm x 3/4, instalado em reservação de água de edificação que possua reservatório de fibra/fibrocimento, fornecimento e instalação. AF_06/2016</t>
  </si>
  <si>
    <t>Adaptador curto com bolsa e rosca para registro, PVC, soldável, DN 25mm x 3/4, instalado em reservação de água de edificação que possua reservatório de fibra/fibrocimento, fornecimento e instalação. AF_06/2016</t>
  </si>
  <si>
    <t>Cruzeta PVC PBA JE BBBB, para rede de água DN 50 / de 60mm</t>
  </si>
  <si>
    <t>9.6</t>
  </si>
  <si>
    <t>Joelho 90 graus, PVC, soldável, DN 25mm, instalado em ramal ou sub-ramal de água - fornecimento e instalação. AF_12/2014</t>
  </si>
  <si>
    <t>9.7</t>
  </si>
  <si>
    <t>Joelho 90 graus com bucha de latão, PVC, soldável, DN 25mm x 1/2 instalado em ramal ou sub-ramal de água - fornecimento e instalação. AF_12/2014</t>
  </si>
  <si>
    <t>9.8</t>
  </si>
  <si>
    <t>Joelho 90 graus com bucha de latãó, PVC, soldável, DN 25mm x 3/4 instalado em ramal ou sub-ramal de água - fornecimento e instalação. AF_12/2014</t>
  </si>
  <si>
    <t>9.9</t>
  </si>
  <si>
    <t>Joelho 90 graus, PVC, soldável, DN 32mm, instalado em ramal ou sub-ramal de água - fornecimento e instalação. AF_12/2014</t>
  </si>
  <si>
    <t>9.10</t>
  </si>
  <si>
    <t>Bucha de redução de PVC, soldável, curta, com 32 x 25 mm, para água fria predial</t>
  </si>
  <si>
    <t>9.11</t>
  </si>
  <si>
    <t>Tê com bucha de latão na bolsa central, PVC, soldável, DN 25mm x 1/2, instalada em prumada de água - fornecimento e instalação. AF_12/2014</t>
  </si>
  <si>
    <t>9.12</t>
  </si>
  <si>
    <t>Curva 90 graus, PVC, soldável, DN 50 mm, instalado em reservatório de água de edificação que possua reservatório de fibra/fibrocimento - fornecimento e instalação. AF_06/2016</t>
  </si>
  <si>
    <t>9.13</t>
  </si>
  <si>
    <t>Joelho PVC soldável com rosca 90º água fria 25mmx1/2" - fornecimento e instalação</t>
  </si>
  <si>
    <t>9.14</t>
  </si>
  <si>
    <t>9.15</t>
  </si>
  <si>
    <t>Bucha de redução de PVC, soldável, curta, com 50 x 40 mm, para água fria predial</t>
  </si>
  <si>
    <t>9.16</t>
  </si>
  <si>
    <t>Bucha de redução de PVC, soldável, longa, com 50 x 25 mm, para água fria predial</t>
  </si>
  <si>
    <t>9.17</t>
  </si>
  <si>
    <t>Bucha de redução de PVC, soldável, curta, com 40 x 32 mm, para água fria predial</t>
  </si>
  <si>
    <t>9.18</t>
  </si>
  <si>
    <t>Joelho 90 graus, PVC, soldável, DN 50mm, instalado em prumada de água - fornecimento e instalação. AF_12/2014</t>
  </si>
  <si>
    <t>9.19</t>
  </si>
  <si>
    <t>Joelho 90 graus, PVC, soldável, DN 40mm, instalado em prumada de água - fornecimento e instalação. AF_12/2014</t>
  </si>
  <si>
    <t>9.20</t>
  </si>
  <si>
    <t>Joelho de redução 90º de PVC, rígido, soldâvel, marrom diámetro = 32 x 25mm</t>
  </si>
  <si>
    <t>9.21</t>
  </si>
  <si>
    <t>Tê, PVC, soldável, DN 25mm, instalado em ramal ou sub-ramal de água - fornecimento e instalação. AF_12/2014</t>
  </si>
  <si>
    <t>9.22</t>
  </si>
  <si>
    <t>Tê, PVC, soldável, DN 32mm, instalado em ramal ou sub-ramal de água - fornecimento e instalação. AF_12/2014</t>
  </si>
  <si>
    <t>9.23</t>
  </si>
  <si>
    <t>Tê, PVC, soldável, DN 50 mm instalado em reservação de água de edificação que possua reservatório de fibra/fibrocimento fornecimento e instalação. AF_05/2016</t>
  </si>
  <si>
    <t>9.24</t>
  </si>
  <si>
    <t>Tê de redução, PVC, soldável, DN 32mm x 25mm, instalado em ramal ou sub-ramal de água - fornecimento e instalação. AF_12/2014</t>
  </si>
  <si>
    <t>9.25</t>
  </si>
  <si>
    <t>Tê de redução, PVC, soldável, DN 50mm x 25mm, instalado em ramal ou sub-ramal de água - fornecimento e instalação. AF_12/2014</t>
  </si>
  <si>
    <t>9.26</t>
  </si>
  <si>
    <t>Tubo, PVC, soldável, DN 25mm, instalado em ramal ou sub-ramal de água - fornecimento e instalação. AF_12/2014</t>
  </si>
  <si>
    <t>9.27</t>
  </si>
  <si>
    <t>Tê de redução, PVC, soldável, DN 50mm x 40mm, instalado em prumada de água - fornecimento e instalação. AF_12/2014</t>
  </si>
  <si>
    <t>9.28</t>
  </si>
  <si>
    <t>Tubo, PVC, soldável, DN 32mm, instalado em ramal ou sub-ramal de água - fornecimento e instalação. AF_12/2014</t>
  </si>
  <si>
    <t>9.29</t>
  </si>
  <si>
    <t>Tê de redução 90º de PVC, rígido, soldável, marrom diámetro = 50 x 32mm</t>
  </si>
  <si>
    <t>9.30</t>
  </si>
  <si>
    <t>Tubo, PVC, soldável, DN 40mm, instalado em prumada de água - fornecimento e instalação. AF_12/2014</t>
  </si>
  <si>
    <t>9.31</t>
  </si>
  <si>
    <t>Tubo, PVC, soldável, DN 50mm, instalado em prumada de água - fornecimento e instalação. AF_12/2014</t>
  </si>
  <si>
    <t>9.32</t>
  </si>
  <si>
    <t>Chuveiro elétrico comum corpo plástico tipo ducha, fornecimento e instalação</t>
  </si>
  <si>
    <t>9.33</t>
  </si>
  <si>
    <t>Registro de pressão bruto, latão, roscável, 3/4, fornecido e instalado em ramal de água. AF_12/2014</t>
  </si>
  <si>
    <t>9.34</t>
  </si>
  <si>
    <t>Registro de gaveta bruto, latão, roscável, 3/4", com acabamento e canopla, cromados, fornecido e instalado em ramal de água. AF_12/2014</t>
  </si>
  <si>
    <t>9.35</t>
  </si>
  <si>
    <t>Registro de gaveta bruto latão, roscável, 1, com acabamento e canopla cromados, instalado em reservação de água de edificação que possua reservatório de fibra/fibrocimento, fornecimento e instalação. AF_06/2016</t>
  </si>
  <si>
    <t>9.36</t>
  </si>
  <si>
    <t>Registro de gaveta bruto latão, roscável, 1.1/2, com acabamento e canopla cromados, instalado em reservação de água de edificação que possua reservatório de fibra/fibrocimento, fornecimento e instalação. AF_06/2016</t>
  </si>
  <si>
    <t>10.0</t>
  </si>
  <si>
    <t>INSTALAÇÕES SANITÁRIA</t>
  </si>
  <si>
    <t>Tubulações e Conexões em PVC</t>
  </si>
  <si>
    <t>10.1.1</t>
  </si>
  <si>
    <t>Curva 90 graus, PVC, série normal, esgoto predial, DN 40mm, junta soldável, fornecido e instalado em ramal de descarga ou ramal de esgoto sanitário. AF_12/2014</t>
  </si>
  <si>
    <t>10.1.2</t>
  </si>
  <si>
    <t>Joelho de 90° em PVC, rígido c/ anéis, para esgoto secundário, diám = 40mm</t>
  </si>
  <si>
    <t>10.1.3</t>
  </si>
  <si>
    <t>Joelho 45 graus, PVC, série normal, esgoto predial, DN 40mm, junta soldável, fornecido e instalado em ramal de descarga ou ramal de esgoto sanitário. AF_12/2014</t>
  </si>
  <si>
    <t>10.1.4</t>
  </si>
  <si>
    <t>Joelho 45 graus, PVC, série normal, esgoto predial, DN 50mm, junta elástica, fornecido e instalado em ramal de descarga ou ramal de esgoto sanitário. AF_12/2014</t>
  </si>
  <si>
    <t>10.1.5</t>
  </si>
  <si>
    <t>Joelho 45 graus, PVC, série normal, esgoto predial, DN 100mm, junta elástica, fornecido e instalado em ramal de descarga ou ramal de esgoto sanitário. AF_12/2014</t>
  </si>
  <si>
    <t>10.1.6</t>
  </si>
  <si>
    <t>Joelho 90 graus, PVC, série normal, esgoto predial, DN 100mm, junta elástica, fornecido e instalado em ramal de descarga ou ramal de esgoto sanitário. AF_12/2014</t>
  </si>
  <si>
    <t>10.1.7</t>
  </si>
  <si>
    <t>Joelho 90 graus, PVC, série normal, esgoto predial, DN 50mm, junta elástica, fornecido e instalado em ramal de descarga ou ramal de esgoto sanitário. AF_12/2014</t>
  </si>
  <si>
    <t>10.1.8</t>
  </si>
  <si>
    <t>Junção simples em PVC, rígido, soldável, para esgoto primário, diám = 100 x 100mm</t>
  </si>
  <si>
    <t>10.1.9</t>
  </si>
  <si>
    <t>Junção simples, PVC, série normal, esgoto predial, DN 50 x 50mm, junta elástica, fornecido e instalado em ramal de descarga ou ramal de esgoto sanitário. AF_12/2014</t>
  </si>
  <si>
    <t>10.1.10</t>
  </si>
  <si>
    <t>Tubo PVC, série normal, esgoto predial, DN 40mm, fornecido e instalado em ramal de descarga ou ramal de esgoto sanitário. AF_12/2014</t>
  </si>
  <si>
    <t>10.1.11</t>
  </si>
  <si>
    <t>Redução excêntrica em PVC, rígido, soldável. para esgoto primário, dlãm = 100 x 50mm</t>
  </si>
  <si>
    <t>10.1.12</t>
  </si>
  <si>
    <t>Tubo PVC, série normal, esgoto predial, DN 50mm, fornecido e instalado em ramal de descarga ou ramal de esgoto sanitário. AF_12/2014</t>
  </si>
  <si>
    <t>10.1.13</t>
  </si>
  <si>
    <t>Tubo PVC, série normal, esgoto predial, DN 75mm, fornecido e instalado em ramal de descarga ou ramal de esgoto sanitário. AF_12/2014</t>
  </si>
  <si>
    <t>10.1.14</t>
  </si>
  <si>
    <t>Tubo PVC, série normal, esgoto predial, DN 100mm, fornecido e instalado em ramal de descarga ou ramal de esgoto sanitário. AF_12/2014</t>
  </si>
  <si>
    <t>Acessórios e Complementos</t>
  </si>
  <si>
    <t>10.2.1</t>
  </si>
  <si>
    <t>Caixa de inspeção em concreto pré-moldado DN 60cm com tampa H= 60cm - fornecimento e instalação</t>
  </si>
  <si>
    <t>10.2.2</t>
  </si>
  <si>
    <t>Caixa sifonada, PVC, DN 100 x 100 x 50mm, junta elástica, fornecida e instalada em ramal de descarga ou em ramal de esgoto sanitário. AF_12/2014</t>
  </si>
  <si>
    <t>10.2.3</t>
  </si>
  <si>
    <t>Caixa de gordura • "cg" • (50 x 50 x 65cm)</t>
  </si>
  <si>
    <t>10.2.4</t>
  </si>
  <si>
    <t>Válvula em plástico 1" para pia, tanque ou lavatório, com ou sem ladrão - fornecimento e instalação. AF_12/2013</t>
  </si>
  <si>
    <t>10.2.5</t>
  </si>
  <si>
    <t>Sifão do tipo garrafa/copo em PVC 1.1/4 x 1,1/2", fornecimento e instalação. AF_12/2013</t>
  </si>
  <si>
    <t>Louças</t>
  </si>
  <si>
    <t>10.3.1</t>
  </si>
  <si>
    <t>Lavatório louça branca suspenso, 29,5 x 39cm ou equivalente, padrão popular, incluso sifão flexível em PVC, válvula e 1 engate flexível 30cm em plástico e torneira cromada de mesa, padrão popular - fornecimento e instalação. AF_12/2013</t>
  </si>
  <si>
    <t>10.3.2</t>
  </si>
  <si>
    <t>Lavatório com bancada em granito cinza andorinha, e=2cm, dim 1.00x0.60, com 01 cuba de louça de embutir, sifão ajustavel metallzado, válvula cromada, torneira cromada. inclusive rodopia 10 cm, assentada.</t>
  </si>
  <si>
    <t>10.3.3</t>
  </si>
  <si>
    <t>Bancada em aço inox - 304, L=60cm. para cubas simples, concretada, acabamento liso e polido, assentada com argamassa traço T-1(1:3). exclusive cuba, sifâo, válvula e tomeira</t>
  </si>
  <si>
    <t>10.3.4</t>
  </si>
  <si>
    <t>Bancada em granito cinza andorinha. e=2cm</t>
  </si>
  <si>
    <t>10.3.5</t>
  </si>
  <si>
    <t>Bancada de granito cinza polido 150 x 60cm, com cuba de embutir de aço inoxidável média, válvula americana em metal cromado, sifão flexível em PVC, engate flexível 30cm, torneira cromada longa de parede, 1/2 ou 3/4, para pia de cozinha, padrão popular - fornecimento e instalação. AF_12/2013</t>
  </si>
  <si>
    <t>10.3.6</t>
  </si>
  <si>
    <t>Cuba de embutir de aço inoxidável média - fornecimento e instalação. AF_12/2013</t>
  </si>
  <si>
    <t>10.3.7</t>
  </si>
  <si>
    <t>Torneira cromada tubo móvel, de mesa, 1/2" ou 3/4". Para pia de cozinha, padrão alto - fornecimento e instalação. AF_12/2013</t>
  </si>
  <si>
    <t>10.3.8</t>
  </si>
  <si>
    <t>Vaso sanitário sifonado com caixa acoplada loça branca, padrão médio, incluso engate flexível em metal cromado, 1/2 x 40cm - fornecimento e instalação. AF_12/2013</t>
  </si>
  <si>
    <t>10.3.9</t>
  </si>
  <si>
    <t>Tanque de louça branca com coluna 30L ou equivalente - fornecimento e instalação. AF_12/2013</t>
  </si>
  <si>
    <t>Sistema de Ventilação</t>
  </si>
  <si>
    <t>10.4.1</t>
  </si>
  <si>
    <t>Tubo PVC, série normal, esgoto predial, DN 75mm, fornecido e instalado em rama de descarga ou ramal de esgoto sanitário. AF_12/2014</t>
  </si>
  <si>
    <t>10.4.2</t>
  </si>
  <si>
    <t>Joelho 90 graus, PVC, série normal, esgoto predial, DN 75mm, junta elástica, fornecido e instalado em ramal de descarga ou ramal de esgoto sanitário. AF_12/2014</t>
  </si>
  <si>
    <t>10.4.3</t>
  </si>
  <si>
    <t>Terminal de ventilação em pvc rígido cl anéis, para esgoto primário, diâm = 50mm</t>
  </si>
  <si>
    <t>11.0</t>
  </si>
  <si>
    <t>INSTALAÇÕES ELÉTRICAS</t>
  </si>
  <si>
    <t>Quadro de medição trifásica em Noril com lente para leitura</t>
  </si>
  <si>
    <t>Escavação manual em solo, profundidade até 1,50 m</t>
  </si>
  <si>
    <t>Quadro de distribuição de energia de embutir, em chapa metálica, para 18 disjuntores termomagnéticos monopolares, com barramento trifásico e neutro, fornecimento e instalação</t>
  </si>
  <si>
    <t>Concreto FCK = 15MPA, traço 1:3,4:3,5 (cimento/areia média/brita 1) - preparo mecânico com betoneira 400 L. AF_07/2016</t>
  </si>
  <si>
    <t>Lançamento/aplicação manual de concreto em fundações</t>
  </si>
  <si>
    <t>Reaterro interno (edificações) compactado manualmente</t>
  </si>
  <si>
    <t>Disjuntor termomagnético monopolar padrão NEMA (americano) 10 a 30 a 240V, fornecimento e instalação</t>
  </si>
  <si>
    <t>Disjuntor termomagnético tripolar padrão NEMA (americano) 10 a 50 a 240V, fornecimento e instalação</t>
  </si>
  <si>
    <t>Disjuntor bipolar DR 25 A • Dispositivo residual diferencial, tipo AC, 30MA, ref 5SM1 312-OMB, Siemens ou similar</t>
  </si>
  <si>
    <t>Disjuntor termomagnético tripolar padrão NEMA (americano) 60 a 100 a 240V, fornecimento e instalação</t>
  </si>
  <si>
    <t>Luminária arandela tipo meia-lua para 1 lâmpada de 15W, fornecimento e instalação. AF_11/2017</t>
  </si>
  <si>
    <t>Interruptor simples (1 módulo), 10A/250V, incluindo suporte e placa - fornecimento e instalação. AF_12/2015</t>
  </si>
  <si>
    <t>Luminária tipo PLAFON, de sobrepor, com 1 lâmpada LED - fornecimento e instalação. AF_11/2017</t>
  </si>
  <si>
    <t>Interruptor simples (2 módulos), 10A/250V, incluindo suporte e placa - fornecimento e instalação. AF_12/2015</t>
  </si>
  <si>
    <t>Interruptor paralelo (1 módulo), 10A/250V, incluindo suporte e placa - fornecimento e instalação. AF_12/2015</t>
  </si>
  <si>
    <t>Interruptor simples (1 módulo) com 1 tomada de embutir 2P+T</t>
  </si>
  <si>
    <t>Tomada baixa de embutir (1 módulo) 2P+T, 10A, incluindo suporte e placa - fornecimento e instalação. AF_12/2015</t>
  </si>
  <si>
    <t>Tomada baixa de embutir (1 módulo) 2P+T, 20A, incluindo suporte e placa - fornecimento e instalação. AF_12/2015</t>
  </si>
  <si>
    <t>Tomada baixa de embutir (2 módulo) 2P+T, 10A, incluindo suporte e placa - fornecimento e instalação. AF_12/2015</t>
  </si>
  <si>
    <t>Cabo de cobre flexível isolado, 1,5mm², anti-chama 450/750 V, para circuitos terminais - fornecimento e instalação. AF_12/2015</t>
  </si>
  <si>
    <t>Cabo de cobre flexível isolado, 2,5mm², anti-chama 450/750 V, para circuitos terminais - fornecimento e instalação. AF_12/2015</t>
  </si>
  <si>
    <t>Cabo de cobre flexível isolado, 4,0mm², anti-chama 450/750 V, para circuitos terminais - fornecimento e instalação. AF_12/2015</t>
  </si>
  <si>
    <t>Cabo de cobre flexível isolado, 6,0mm², anti-chama 0,6/1 KV, para circuitos terminais - fornecimento e instalação. AF_12/2015</t>
  </si>
  <si>
    <t>Eletroduto flexível corrugado, PVC, DN 25mm (3/4"). Para circuitos terminais, instalado em forro - fornecimento e instalação. AF_12/2015</t>
  </si>
  <si>
    <t>Eletroduto flexível corrugado, PVC, DN 32mm (1"). Para circuitos terminais, instalado em forro - fornecimento e instalação. AF_12/2015</t>
  </si>
  <si>
    <t>Eletroduto rígido roscável, PVC, DN 25mm (3/4"). Para circuitos terminais, instalado em forro - fornecimento e instalação. AF_12/2015</t>
  </si>
  <si>
    <t>Eletroduto rígido roscável, PVC, DN 32mm (1"). Para circuitos terminais, instalado em forro - fornecimento e instalação. AF_12/2015</t>
  </si>
  <si>
    <t>Eletroduto rígido roscável, PVC, DN 40mm (1.1/4"). Para circuitos terminais, instalado em forro - fornecimento e instalação. AF_12/2015</t>
  </si>
  <si>
    <t>Relé fotoelétrico para comando de iluminação externa 220V/1000W - fornecimento e instalação</t>
  </si>
  <si>
    <t>Abraçadeira em aço para amarração de eletrodutos, tipo D, com 3/4" e cunha de fixação</t>
  </si>
  <si>
    <t>Abraçadeira em aço para amarração de eletrodutos, tipo D, com 1" e cunha de fixação</t>
  </si>
  <si>
    <t>Abraçadeira em aço para amarração de eletrodutos, tipo D, com 1.1/4" e cunha de fixação</t>
  </si>
  <si>
    <t>Caixa octogonal 3" x 3", PVC, instalada em laje - fornecimento e instalação. AF_12/2015</t>
  </si>
  <si>
    <t>Caixa retagular 4" x 2" alta (2,00m do piso), metálica, instalada em parede - fornecimento e instalação. AF_12/2015</t>
  </si>
  <si>
    <t>Luva para eletroduto, PVC, roscável, DN 25 mm (3/4"), para circuitos terminais, instalada em forro - fornecimento e instalação. AF_12/2015</t>
  </si>
  <si>
    <t>Luva para eletroduto, PVC, roscável, DN 32 mm (1"), para circuitos terminais, instalada em forro - fornecimento e instalação. AF_12/2015</t>
  </si>
  <si>
    <t>Caixa octogonal 4" x 4", PVC, instalada em laje - fornecimento e instalação. AF_12/2015</t>
  </si>
  <si>
    <t>12.0</t>
  </si>
  <si>
    <t>PREVENÇÃO E COMBATE A INCÊNDIO</t>
  </si>
  <si>
    <t>Extintor incêndio água-pressurizada 10 L incusive suporte parede carga completa, fornecimento e colocação</t>
  </si>
  <si>
    <t>Extintor incêndio tipo pó químico 6KG- fornecimento e instalação</t>
  </si>
  <si>
    <t>Placas de sinalização de orientação e salvamento (saídas de emergência/rotas de fuga) - placa identificação acrílico 20x40cm • fornecimento e colocação</t>
  </si>
  <si>
    <t>Placa fotoluminescente para sinalização extitnor 30x30cm, fornecimento e colocação</t>
  </si>
  <si>
    <t>Bloco autônomo de iluminação de emergência 2x8W</t>
  </si>
  <si>
    <t>13.0</t>
  </si>
  <si>
    <t>REVESTIMENTO DE PAREDES</t>
  </si>
  <si>
    <t>Chapisco aplicado em alvenarias e estruturas de concreto internas, com colher de pedreiro. Argamassa traço 1:3 com preparo em betoneira 400 L. AF_06/2014</t>
  </si>
  <si>
    <t>Massa única, para recebimento de pintura, em argamassa traço 1:2:8, preparo mecânico com betoneira 400 L, aplicado manualmente em faces internas de paredes, espessura de 10mm, com execução de taliscas. AF_06/2014</t>
  </si>
  <si>
    <t>Revestimento cerâmico para paredes internas com placas tipo esmaltada extra de dimensões 25x35cm aplicadas em ambientes de área maior que 5 m² a meia altura das paredes. AF_06/2014</t>
  </si>
  <si>
    <t>Emboço, para recebimento de cerâmica, em argamassa traço 1:2:8, preparo manual, aplicado manualmente em faces internas de paredes, para ambiente com área maior que 10m², espessura de 10mm, com execução de taliscas. AF_06/2014</t>
  </si>
  <si>
    <t>Lastro de concreto magro, aplicado em pisos ou radiers, espessura de 5cm. AF_07/2016</t>
  </si>
  <si>
    <t>Piso em granilite, marmorite ou granitina espessura 8mm, incluso juntas de dilatação plásticas</t>
  </si>
  <si>
    <t>Execução de pátio/estacionamento em piso intertravado, com bloco retangular cor natural de 20 x 10cm, espessura 8 cm. AF_12/2015</t>
  </si>
  <si>
    <t>Execução de passeio (calçada) ou piso de concreto com concreto moldado in loco, feito em obra, acabamento convencional, não armado. AF_07/2016</t>
  </si>
  <si>
    <t>Piso podotátil de concreto - direcional e alerta. *25 x 25' cm</t>
  </si>
  <si>
    <t>Assentamento de guia (meio-fio) em trecho reto, confeccionada em concreto pré-fabricado, dimensões 100x15x13x30 cm (comprimento x base inferior x base superior x altura), para vias urbanas (uso viário), AF_06/2016</t>
  </si>
  <si>
    <t>15.0</t>
  </si>
  <si>
    <t>Paredes</t>
  </si>
  <si>
    <t>15.1.1</t>
  </si>
  <si>
    <t>Aplicação de fundo selador acrílico em paredes, uma demão. AF_06/2014</t>
  </si>
  <si>
    <t>15.1.2</t>
  </si>
  <si>
    <t>Aplicação e lixamento de massa látex em paredes, duas demãos. AF_06/2014</t>
  </si>
  <si>
    <t>15.1.3</t>
  </si>
  <si>
    <t>Aplicação manual de pintura com tinta látex acrílica, duas demãos. AF_06/2014</t>
  </si>
  <si>
    <t>Esquadrias</t>
  </si>
  <si>
    <t>15.2.1</t>
  </si>
  <si>
    <t>Pintura esmalte alto brilho, duas demãos, sobre superfície metálica</t>
  </si>
  <si>
    <t>Pintura esmalte acetinado em madeira, duas demãos</t>
  </si>
  <si>
    <t>16.0</t>
  </si>
  <si>
    <t>SERVIÇOS FINAIS</t>
  </si>
  <si>
    <t>Plantio de grama esmeralda em rolo</t>
  </si>
  <si>
    <t>Plantio de árvore ornamental com altura de muda maior que 2,00m e menor ou igual a 4,00m. AF_05/2018</t>
  </si>
  <si>
    <t>Limpeza final da obra</t>
  </si>
  <si>
    <t>Armação de pilar ou viga de uma estrutura convencional de concreto armado em um edificio de multiplos pavimentos utilizando aço CA-50 de 6.3 mm - montagem. AF_12/2015</t>
  </si>
  <si>
    <t>RUA PROJETADA SN, BAIRRO COMERCIAL NORTE - BAYEUX - PB</t>
  </si>
  <si>
    <t>OBRA: CONSTRUÇÃO DE UBS – UNIDADE BÁSICA DE SAÚDE, PORTE II, NO BAIRRO COMERCIAL NORTE</t>
  </si>
  <si>
    <t xml:space="preserve">Área = 30,00x2+37,00x2 </t>
  </si>
  <si>
    <t>Área da placa: 2,50 x 4,0 = 10,00 m²</t>
  </si>
  <si>
    <t>A = (52x0,8x0,7)+(14x0,8x0,7)+(7x0,8x0,7)+(4x0,9x0,7)</t>
  </si>
  <si>
    <t>V = Área de regularização (43,4) X 0,05</t>
  </si>
  <si>
    <t>Conforme projeto estrutural</t>
  </si>
  <si>
    <t>Área de Fôrma de Sapatas</t>
  </si>
  <si>
    <t>Impermeabilização de estruturas enterradas, com tinta asfáltica, duas demãos</t>
  </si>
  <si>
    <t>Executado Físico</t>
  </si>
  <si>
    <t>V = (52x0,8x0,7x0,60)+(14x0,8x0,7x0,60)+(7x0,8x0,7x0,60)+(4x0,9x0,7x0,60)</t>
  </si>
  <si>
    <t>Extensão linear (seção 40x40cm) → 2,44+3,54+1,50+22,30+14,10+3,85+2,20+3,85+3,70+3,55*4+ 5,80+1,55+3,70+7,65+10,40+10,40+2,20+16,75+3,30*2+4,00+2,25+4*6+2,20+6,35+ 15,80+4,86+0,9+1,65+13,60+8,00+5,65+17,75+9,75+3,00*7+1,71+4,71+5,04+1,6*4 = 312,35</t>
  </si>
  <si>
    <t>Foi executado nesta medição 50% da escavação, portanto obtem-se:</t>
  </si>
  <si>
    <t>Volume = (312,35/2) * (0,40*0,40)</t>
  </si>
  <si>
    <t>Sapatas 60 x 70 cm, com 25 cm de altura</t>
  </si>
  <si>
    <t>=52*(0,6*2+0,70*2+0,05*2)*0,25</t>
  </si>
  <si>
    <t>Sapatas 60 x 70 cm, com 35 cm de altura</t>
  </si>
  <si>
    <t>=13*(0,6*2+0,70*2+0,05*2)*0,35</t>
  </si>
  <si>
    <t>Sapatas 60 x 70 cm, com 45 cm de altura</t>
  </si>
  <si>
    <t>=7*(0,6*2+0,70*2+0,05*2)*0,45</t>
  </si>
  <si>
    <t>=4*(0,6*2+0,80*2+0,05*2)*0,60</t>
  </si>
  <si>
    <t>Escavação manual para bloco de sapata, com previsão de fôrma.</t>
  </si>
  <si>
    <t>Armação de sapata utilizando aço CA-6O de 5 mm - montagem. AF_06/2017</t>
  </si>
  <si>
    <t>Armação de sapata utilizando aço CA-5O de 6,3 mm - montagem. AF_06/2017</t>
  </si>
  <si>
    <t>Armação de sapata utilizando aço CA-5O de 8 mm - montagem. AF_06/2017</t>
  </si>
  <si>
    <t>Armação de sapata utilizando aço CA-5O de 10 mm - montagem. AF_06/2017</t>
  </si>
  <si>
    <t>Armação de sapata utilizando aço CA-5O de 12,5 mm - montagem. AF_06/2017</t>
  </si>
  <si>
    <t>Armação de sapata utilizando aço CA-5O de 16 mm - montagem. AF_06/2017</t>
  </si>
  <si>
    <t>Armação de sapata utilizando aço CA-5O de 20 mm - montagem. AF_06/2017</t>
  </si>
  <si>
    <t xml:space="preserve">Concreto Fck= 30Mpa, traço 1:2,1:2,6 (cimento/areia média/brita 1) - preparo mecânico com betoneira 400 L. </t>
  </si>
  <si>
    <t>Lançamento com uso de baldes, adensamento e acabamento de concreto em estruturas.</t>
  </si>
  <si>
    <t>Reaterro manual apiloado com soquete.</t>
  </si>
  <si>
    <t>Armação de sapata utilizando aço CA-6O de 5 mm - montagem.</t>
  </si>
  <si>
    <t>Armação de sapata utilizando aço CA-5O de 6,3 mm - montagem.</t>
  </si>
  <si>
    <t>Armação de sapata utilizando aço CA-5O de 8 mm - montagem.</t>
  </si>
  <si>
    <t>Armação de sapata utilizando aço CA-5O de 10 mm - montagem.</t>
  </si>
  <si>
    <t>Armação de sapata utilizando aço CA-5O de 12,5 mm - montagem.</t>
  </si>
  <si>
    <t>Armação de sapata utilizando aço CA-5O de 16 mm - montagem.</t>
  </si>
  <si>
    <t>Armação de sapata utilizando aço CA-5O de 20 mm - montagem.</t>
  </si>
  <si>
    <t>Locação convencional de obra, utilizando gabarito de tábuas corridas pontaletadas a cada 2,00m - 2 utilizações.</t>
  </si>
  <si>
    <t>Comprimento da Base</t>
  </si>
  <si>
    <t>Largura da Base</t>
  </si>
  <si>
    <t>Altura da Base</t>
  </si>
  <si>
    <t>Comprimento do Fuste</t>
  </si>
  <si>
    <t>Largura do Fuste</t>
  </si>
  <si>
    <t>Altura da Piramide</t>
  </si>
  <si>
    <t>0,60</t>
  </si>
  <si>
    <t>0,25</t>
  </si>
  <si>
    <t>0,30</t>
  </si>
  <si>
    <t>0,15</t>
  </si>
  <si>
    <t>0,10</t>
  </si>
  <si>
    <t>V1 =</t>
  </si>
  <si>
    <t>Comp da Base</t>
  </si>
  <si>
    <t>Lag. Da Base</t>
  </si>
  <si>
    <t>m  x</t>
  </si>
  <si>
    <t>m  =</t>
  </si>
  <si>
    <t>Total</t>
  </si>
  <si>
    <t>V2 =</t>
  </si>
  <si>
    <t>S1 =</t>
  </si>
  <si>
    <t>Comp. Da Base</t>
  </si>
  <si>
    <t>Larg. Da Base</t>
  </si>
  <si>
    <t>Comp do Fuste</t>
  </si>
  <si>
    <t>Larg do Fuste</t>
  </si>
  <si>
    <t>Total  =</t>
  </si>
  <si>
    <t>Subtotal (V1 + V2) =</t>
  </si>
  <si>
    <t>Volume</t>
  </si>
  <si>
    <t>und  =</t>
  </si>
  <si>
    <t>Qtd</t>
  </si>
  <si>
    <t>Será adotado o mesmo volume calculado no item 3.1.12</t>
  </si>
  <si>
    <t>m³  x</t>
  </si>
  <si>
    <t>Sapatas 60 x 80 cm, com 60 cm de altura</t>
  </si>
  <si>
    <t xml:space="preserve">Lançamento com uso de baldes, adensamento e acabamento de concreto em estruturas. </t>
  </si>
  <si>
    <t xml:space="preserve">Fabricação, montagem e desmontagem de fôrma para sapata, em madeira serrada, E=25 mm, 4 utilizações. </t>
  </si>
  <si>
    <t xml:space="preserve">Limpeza manual de vegetação em terreno com enxada (CÓDIGO - 98524/SINAPI - 08/2021)   </t>
  </si>
  <si>
    <t xml:space="preserve">Aterro manual com solo argilo-arenoso e compactado mecanizada (CÓDIGO - 94319/SINAPI - 08/2021) </t>
  </si>
  <si>
    <t>Entrada de energia elétrica trifásica</t>
  </si>
  <si>
    <t xml:space="preserve">Preço Unitário (R$) </t>
  </si>
  <si>
    <t>01/10/2020 a 15/12/2021</t>
  </si>
</sst>
</file>

<file path=xl/styles.xml><?xml version="1.0" encoding="utf-8"?>
<styleSheet xmlns="http://schemas.openxmlformats.org/spreadsheetml/2006/main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\-??_);_(@_)"/>
    <numFmt numFmtId="166" formatCode="00"/>
    <numFmt numFmtId="167" formatCode="_(* #,##0.00_);_(* \(#,##0.00\);_(* &quot;-&quot;??_);_(@_)"/>
    <numFmt numFmtId="168" formatCode="&quot;R$&quot;\ #,##0.00"/>
    <numFmt numFmtId="169" formatCode="#,##0.00_ ;\-#,##0.00\ "/>
    <numFmt numFmtId="170" formatCode="0.0"/>
    <numFmt numFmtId="171" formatCode="0.000"/>
  </numFmts>
  <fonts count="30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3"/>
      <color theme="4" tint="-0.499984740745262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i/>
      <sz val="10"/>
      <color rgb="FFFF0000"/>
      <name val="Arial Narrow"/>
      <family val="2"/>
    </font>
    <font>
      <sz val="10"/>
      <color rgb="FFFF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0" fontId="2" fillId="0" borderId="0"/>
    <xf numFmtId="165" fontId="4" fillId="0" borderId="0" applyFill="0" applyBorder="0" applyAlignment="0" applyProtection="0"/>
    <xf numFmtId="0" fontId="19" fillId="0" borderId="0" applyNumberFormat="0" applyFill="0" applyBorder="0" applyAlignment="0" applyProtection="0"/>
    <xf numFmtId="167" fontId="4" fillId="0" borderId="0" applyFont="0" applyFill="0" applyBorder="0" applyAlignment="0" applyProtection="0"/>
  </cellStyleXfs>
  <cellXfs count="550">
    <xf numFmtId="0" fontId="0" fillId="0" borderId="0" xfId="0"/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3" fillId="4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vertical="center" wrapText="1"/>
    </xf>
    <xf numFmtId="43" fontId="6" fillId="2" borderId="0" xfId="1" applyFont="1" applyFill="1" applyBorder="1" applyAlignment="1">
      <alignment vertical="center" wrapText="1"/>
    </xf>
    <xf numFmtId="43" fontId="3" fillId="2" borderId="0" xfId="1" applyFont="1" applyFill="1" applyBorder="1" applyAlignment="1">
      <alignment horizontal="left" vertical="center" wrapText="1"/>
    </xf>
    <xf numFmtId="43" fontId="3" fillId="4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4" fillId="2" borderId="0" xfId="1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16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2" borderId="0" xfId="0" applyFont="1" applyFill="1" applyBorder="1" applyAlignment="1">
      <alignment vertical="center" wrapText="1"/>
    </xf>
    <xf numFmtId="44" fontId="3" fillId="2" borderId="0" xfId="4" applyFont="1" applyFill="1" applyBorder="1" applyAlignment="1">
      <alignment vertical="center" wrapText="1"/>
    </xf>
    <xf numFmtId="10" fontId="4" fillId="2" borderId="1" xfId="2" applyNumberFormat="1" applyFont="1" applyFill="1" applyBorder="1" applyAlignment="1" applyProtection="1">
      <alignment horizontal="center" vertical="center" wrapText="1"/>
      <protection locked="0" hidden="1"/>
    </xf>
    <xf numFmtId="14" fontId="3" fillId="2" borderId="0" xfId="0" applyNumberFormat="1" applyFont="1" applyFill="1" applyBorder="1" applyAlignment="1" applyProtection="1">
      <alignment vertical="center" wrapText="1"/>
      <protection locked="0" hidden="1"/>
    </xf>
    <xf numFmtId="0" fontId="4" fillId="2" borderId="0" xfId="0" applyFont="1" applyFill="1" applyBorder="1" applyAlignment="1" applyProtection="1">
      <alignment vertical="center" wrapText="1"/>
      <protection hidden="1"/>
    </xf>
    <xf numFmtId="10" fontId="3" fillId="2" borderId="0" xfId="2" applyNumberFormat="1" applyFont="1" applyFill="1" applyBorder="1" applyAlignment="1">
      <alignment vertical="center" wrapText="1"/>
    </xf>
    <xf numFmtId="44" fontId="3" fillId="2" borderId="0" xfId="0" applyNumberFormat="1" applyFont="1" applyFill="1" applyBorder="1" applyAlignment="1" applyProtection="1">
      <alignment vertical="center" wrapText="1"/>
      <protection hidden="1"/>
    </xf>
    <xf numFmtId="10" fontId="3" fillId="2" borderId="1" xfId="2" applyNumberFormat="1" applyFont="1" applyFill="1" applyBorder="1" applyAlignment="1" applyProtection="1">
      <alignment horizontal="center"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vertical="center" wrapText="1"/>
    </xf>
    <xf numFmtId="43" fontId="4" fillId="3" borderId="1" xfId="1" applyFont="1" applyFill="1" applyBorder="1" applyAlignment="1">
      <alignment vertical="center" wrapText="1"/>
    </xf>
    <xf numFmtId="44" fontId="4" fillId="3" borderId="1" xfId="4" applyFont="1" applyFill="1" applyBorder="1" applyAlignment="1">
      <alignment horizontal="right" vertical="center" wrapText="1"/>
    </xf>
    <xf numFmtId="44" fontId="3" fillId="3" borderId="1" xfId="4" applyFont="1" applyFill="1" applyBorder="1" applyAlignment="1">
      <alignment vertical="center" wrapText="1"/>
    </xf>
    <xf numFmtId="10" fontId="3" fillId="3" borderId="1" xfId="2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3" fontId="4" fillId="2" borderId="1" xfId="1" applyFont="1" applyFill="1" applyBorder="1" applyAlignment="1">
      <alignment horizontal="right" vertical="center" wrapText="1"/>
    </xf>
    <xf numFmtId="44" fontId="4" fillId="2" borderId="1" xfId="4" applyFont="1" applyFill="1" applyBorder="1" applyAlignment="1">
      <alignment horizontal="right" vertical="center" wrapText="1"/>
    </xf>
    <xf numFmtId="44" fontId="4" fillId="2" borderId="1" xfId="4" applyFont="1" applyFill="1" applyBorder="1" applyAlignment="1">
      <alignment vertical="center" wrapText="1"/>
    </xf>
    <xf numFmtId="10" fontId="4" fillId="2" borderId="1" xfId="2" applyNumberFormat="1" applyFont="1" applyFill="1" applyBorder="1" applyAlignment="1">
      <alignment vertical="center" wrapText="1"/>
    </xf>
    <xf numFmtId="10" fontId="4" fillId="2" borderId="1" xfId="1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4" fontId="3" fillId="3" borderId="1" xfId="4" applyFont="1" applyFill="1" applyBorder="1" applyAlignment="1">
      <alignment horizontal="right" vertical="center" wrapText="1"/>
    </xf>
    <xf numFmtId="10" fontId="3" fillId="3" borderId="1" xfId="2" applyNumberFormat="1" applyFont="1" applyFill="1" applyBorder="1" applyAlignment="1">
      <alignment horizontal="right" vertical="center" wrapText="1"/>
    </xf>
    <xf numFmtId="44" fontId="3" fillId="3" borderId="1" xfId="4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3" fillId="2" borderId="1" xfId="4" applyFont="1" applyFill="1" applyBorder="1" applyAlignment="1" applyProtection="1">
      <alignment horizontal="center" vertical="center" wrapText="1"/>
    </xf>
    <xf numFmtId="1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3" fillId="2" borderId="3" xfId="1" applyFont="1" applyFill="1" applyBorder="1" applyAlignment="1" applyProtection="1">
      <alignment horizontal="center" vertical="center"/>
      <protection locked="0"/>
    </xf>
    <xf numFmtId="43" fontId="3" fillId="2" borderId="3" xfId="1" applyFont="1" applyFill="1" applyBorder="1" applyAlignment="1" applyProtection="1">
      <alignment horizontal="center" vertical="center"/>
      <protection locked="0" hidden="1"/>
    </xf>
    <xf numFmtId="43" fontId="3" fillId="2" borderId="0" xfId="1" applyFont="1" applyFill="1" applyBorder="1" applyAlignment="1">
      <alignment vertical="center"/>
    </xf>
    <xf numFmtId="0" fontId="4" fillId="2" borderId="1" xfId="0" applyFont="1" applyFill="1" applyBorder="1" applyAlignment="1" applyProtection="1">
      <alignment vertical="center"/>
      <protection hidden="1"/>
    </xf>
    <xf numFmtId="14" fontId="4" fillId="2" borderId="1" xfId="0" applyNumberFormat="1" applyFont="1" applyFill="1" applyBorder="1" applyAlignment="1" applyProtection="1">
      <alignment vertical="center"/>
      <protection locked="0" hidden="1"/>
    </xf>
    <xf numFmtId="44" fontId="4" fillId="2" borderId="1" xfId="4" applyFont="1" applyFill="1" applyBorder="1" applyAlignment="1" applyProtection="1">
      <alignment vertical="center"/>
      <protection locked="0" hidden="1"/>
    </xf>
    <xf numFmtId="43" fontId="3" fillId="3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right" wrapText="1"/>
    </xf>
    <xf numFmtId="44" fontId="4" fillId="2" borderId="1" xfId="4" applyFont="1" applyFill="1" applyBorder="1" applyAlignment="1">
      <alignment horizontal="right" wrapText="1"/>
    </xf>
    <xf numFmtId="44" fontId="4" fillId="2" borderId="1" xfId="4" applyFont="1" applyFill="1" applyBorder="1" applyAlignment="1"/>
    <xf numFmtId="43" fontId="4" fillId="2" borderId="1" xfId="1" applyFont="1" applyFill="1" applyBorder="1" applyAlignment="1"/>
    <xf numFmtId="43" fontId="4" fillId="3" borderId="1" xfId="1" applyFont="1" applyFill="1" applyBorder="1" applyAlignment="1">
      <alignment wrapText="1"/>
    </xf>
    <xf numFmtId="44" fontId="4" fillId="3" borderId="1" xfId="4" applyFont="1" applyFill="1" applyBorder="1" applyAlignment="1">
      <alignment horizontal="right" wrapText="1"/>
    </xf>
    <xf numFmtId="44" fontId="3" fillId="3" borderId="1" xfId="4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/>
    <xf numFmtId="43" fontId="4" fillId="3" borderId="1" xfId="1" applyFont="1" applyFill="1" applyBorder="1" applyAlignment="1"/>
    <xf numFmtId="44" fontId="3" fillId="3" borderId="1" xfId="4" applyFont="1" applyFill="1" applyBorder="1" applyAlignment="1"/>
    <xf numFmtId="0" fontId="3" fillId="3" borderId="0" xfId="0" applyFont="1" applyFill="1" applyBorder="1" applyAlignment="1">
      <alignment horizontal="center" vertical="center"/>
    </xf>
    <xf numFmtId="43" fontId="3" fillId="3" borderId="1" xfId="1" applyFont="1" applyFill="1" applyBorder="1" applyAlignment="1"/>
    <xf numFmtId="43" fontId="4" fillId="3" borderId="1" xfId="1" applyFont="1" applyFill="1" applyBorder="1" applyAlignment="1">
      <alignment vertical="center"/>
    </xf>
    <xf numFmtId="14" fontId="4" fillId="2" borderId="1" xfId="0" applyNumberFormat="1" applyFont="1" applyFill="1" applyBorder="1" applyAlignment="1" applyProtection="1">
      <alignment vertical="center" wrapText="1"/>
      <protection locked="0" hidden="1"/>
    </xf>
    <xf numFmtId="44" fontId="4" fillId="2" borderId="1" xfId="4" applyFont="1" applyFill="1" applyBorder="1" applyAlignment="1" applyProtection="1">
      <alignment vertical="center" wrapText="1"/>
      <protection locked="0" hidden="1"/>
    </xf>
    <xf numFmtId="43" fontId="4" fillId="2" borderId="1" xfId="1" applyFont="1" applyFill="1" applyBorder="1" applyAlignment="1" applyProtection="1">
      <alignment vertical="center"/>
      <protection locked="0" hidden="1"/>
    </xf>
    <xf numFmtId="43" fontId="3" fillId="3" borderId="1" xfId="1" applyFont="1" applyFill="1" applyBorder="1" applyAlignment="1">
      <alignment horizontal="right" wrapText="1"/>
    </xf>
    <xf numFmtId="43" fontId="4" fillId="2" borderId="0" xfId="1" applyFont="1" applyFill="1" applyBorder="1" applyAlignment="1">
      <alignment horizontal="center" vertical="center" wrapText="1"/>
    </xf>
    <xf numFmtId="43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 wrapText="1"/>
    </xf>
    <xf numFmtId="9" fontId="4" fillId="2" borderId="0" xfId="2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43" fontId="4" fillId="2" borderId="0" xfId="1" applyFont="1" applyFill="1" applyBorder="1"/>
    <xf numFmtId="0" fontId="4" fillId="2" borderId="0" xfId="0" applyFont="1" applyFill="1" applyBorder="1"/>
    <xf numFmtId="0" fontId="4" fillId="2" borderId="0" xfId="0" applyFont="1" applyFill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Border="1"/>
    <xf numFmtId="0" fontId="4" fillId="3" borderId="0" xfId="0" applyFont="1" applyFill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43" fontId="4" fillId="2" borderId="0" xfId="1" applyFont="1" applyFill="1" applyAlignment="1">
      <alignment vertical="center" wrapText="1"/>
    </xf>
    <xf numFmtId="44" fontId="4" fillId="2" borderId="0" xfId="4" applyFont="1" applyFill="1" applyAlignment="1">
      <alignment vertical="center" wrapText="1"/>
    </xf>
    <xf numFmtId="44" fontId="4" fillId="2" borderId="0" xfId="4" applyFont="1" applyFill="1" applyBorder="1" applyAlignment="1">
      <alignment vertical="center" wrapText="1"/>
    </xf>
    <xf numFmtId="43" fontId="4" fillId="2" borderId="0" xfId="1" applyFont="1" applyFill="1"/>
    <xf numFmtId="10" fontId="4" fillId="2" borderId="0" xfId="2" applyNumberFormat="1" applyFont="1" applyFill="1" applyAlignment="1">
      <alignment vertical="center" wrapText="1"/>
    </xf>
    <xf numFmtId="43" fontId="4" fillId="2" borderId="1" xfId="1" applyFont="1" applyFill="1" applyBorder="1" applyAlignment="1">
      <alignment vertical="center" wrapText="1"/>
    </xf>
    <xf numFmtId="43" fontId="4" fillId="2" borderId="6" xfId="1" applyFont="1" applyFill="1" applyBorder="1"/>
    <xf numFmtId="43" fontId="4" fillId="2" borderId="0" xfId="1" applyFont="1" applyFill="1" applyBorder="1" applyAlignment="1">
      <alignment horizontal="center" vertical="center"/>
    </xf>
    <xf numFmtId="43" fontId="3" fillId="2" borderId="1" xfId="1" applyFont="1" applyFill="1" applyBorder="1" applyAlignment="1" applyProtection="1">
      <alignment horizontal="center" vertical="center" wrapText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43" fontId="3" fillId="5" borderId="1" xfId="1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43" fontId="3" fillId="2" borderId="1" xfId="1" applyFont="1" applyFill="1" applyBorder="1" applyAlignment="1">
      <alignment vertical="center"/>
    </xf>
    <xf numFmtId="43" fontId="3" fillId="2" borderId="1" xfId="1" applyFont="1" applyFill="1" applyBorder="1" applyAlignment="1"/>
    <xf numFmtId="43" fontId="3" fillId="2" borderId="1" xfId="1" applyFont="1" applyFill="1" applyBorder="1" applyAlignment="1">
      <alignment horizontal="right" wrapText="1"/>
    </xf>
    <xf numFmtId="44" fontId="3" fillId="3" borderId="0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1" xfId="0" applyFont="1" applyFill="1" applyBorder="1"/>
    <xf numFmtId="44" fontId="1" fillId="2" borderId="1" xfId="4" applyFont="1" applyFill="1" applyBorder="1"/>
    <xf numFmtId="0" fontId="1" fillId="2" borderId="0" xfId="0" applyFont="1" applyFill="1"/>
    <xf numFmtId="44" fontId="1" fillId="2" borderId="0" xfId="4" applyFont="1" applyFill="1"/>
    <xf numFmtId="0" fontId="12" fillId="2" borderId="1" xfId="0" applyFont="1" applyFill="1" applyBorder="1"/>
    <xf numFmtId="44" fontId="12" fillId="2" borderId="1" xfId="4" applyFont="1" applyFill="1" applyBorder="1"/>
    <xf numFmtId="0" fontId="11" fillId="2" borderId="1" xfId="0" applyFont="1" applyFill="1" applyBorder="1"/>
    <xf numFmtId="44" fontId="11" fillId="2" borderId="1" xfId="4" applyFont="1" applyFill="1" applyBorder="1"/>
    <xf numFmtId="0" fontId="10" fillId="2" borderId="1" xfId="0" applyFont="1" applyFill="1" applyBorder="1"/>
    <xf numFmtId="44" fontId="10" fillId="2" borderId="1" xfId="4" applyFont="1" applyFill="1" applyBorder="1"/>
    <xf numFmtId="0" fontId="14" fillId="2" borderId="1" xfId="0" applyFont="1" applyFill="1" applyBorder="1"/>
    <xf numFmtId="44" fontId="14" fillId="2" borderId="1" xfId="4" applyFont="1" applyFill="1" applyBorder="1"/>
    <xf numFmtId="0" fontId="15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6" fillId="2" borderId="1" xfId="0" applyFont="1" applyFill="1" applyBorder="1"/>
    <xf numFmtId="44" fontId="16" fillId="2" borderId="1" xfId="4" applyFont="1" applyFill="1" applyBorder="1"/>
    <xf numFmtId="43" fontId="3" fillId="2" borderId="1" xfId="1" applyFont="1" applyFill="1" applyBorder="1" applyAlignment="1" applyProtection="1">
      <alignment horizontal="center" vertical="center" wrapText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43" fontId="4" fillId="2" borderId="0" xfId="1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10" fontId="3" fillId="2" borderId="0" xfId="2" applyNumberFormat="1" applyFont="1" applyFill="1" applyBorder="1" applyAlignment="1">
      <alignment horizontal="right" vertical="center" wrapText="1"/>
    </xf>
    <xf numFmtId="43" fontId="4" fillId="2" borderId="7" xfId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4" fontId="0" fillId="2" borderId="0" xfId="0" applyNumberFormat="1" applyFill="1"/>
    <xf numFmtId="0" fontId="17" fillId="3" borderId="1" xfId="0" applyFont="1" applyFill="1" applyBorder="1"/>
    <xf numFmtId="44" fontId="17" fillId="3" borderId="1" xfId="4" applyFont="1" applyFill="1" applyBorder="1"/>
    <xf numFmtId="44" fontId="18" fillId="2" borderId="0" xfId="0" applyNumberFormat="1" applyFont="1" applyFill="1"/>
    <xf numFmtId="0" fontId="18" fillId="2" borderId="0" xfId="0" applyFont="1" applyFill="1"/>
    <xf numFmtId="10" fontId="4" fillId="2" borderId="1" xfId="4" applyNumberFormat="1" applyFont="1" applyFill="1" applyBorder="1" applyAlignment="1" applyProtection="1">
      <alignment vertical="center"/>
      <protection locked="0" hidden="1"/>
    </xf>
    <xf numFmtId="10" fontId="3" fillId="3" borderId="1" xfId="4" applyNumberFormat="1" applyFont="1" applyFill="1" applyBorder="1" applyAlignment="1">
      <alignment vertical="center"/>
    </xf>
    <xf numFmtId="10" fontId="3" fillId="3" borderId="1" xfId="4" applyNumberFormat="1" applyFont="1" applyFill="1" applyBorder="1" applyAlignment="1"/>
    <xf numFmtId="10" fontId="4" fillId="3" borderId="1" xfId="2" applyNumberFormat="1" applyFont="1" applyFill="1" applyBorder="1" applyAlignment="1">
      <alignment vertical="center" wrapText="1"/>
    </xf>
    <xf numFmtId="10" fontId="4" fillId="2" borderId="0" xfId="4" applyNumberFormat="1" applyFont="1" applyFill="1" applyAlignment="1">
      <alignment vertical="center" wrapText="1"/>
    </xf>
    <xf numFmtId="0" fontId="4" fillId="2" borderId="0" xfId="0" applyFont="1" applyFill="1" applyBorder="1" applyAlignment="1">
      <alignment horizont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43" fontId="3" fillId="2" borderId="1" xfId="1" applyFont="1" applyFill="1" applyBorder="1" applyAlignment="1" applyProtection="1">
      <alignment horizontal="center" vertical="center" wrapText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43" fontId="3" fillId="2" borderId="1" xfId="1" applyFont="1" applyFill="1" applyBorder="1" applyAlignment="1" applyProtection="1">
      <alignment horizontal="center" vertical="center" wrapText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43" fontId="3" fillId="0" borderId="1" xfId="1" applyFont="1" applyFill="1" applyBorder="1" applyAlignment="1" applyProtection="1">
      <alignment horizontal="center"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 applyProtection="1">
      <alignment horizontal="center" vertical="center" wrapText="1"/>
      <protection hidden="1"/>
    </xf>
    <xf numFmtId="43" fontId="3" fillId="2" borderId="0" xfId="1" applyFont="1" applyFill="1" applyAlignment="1" applyProtection="1">
      <alignment horizontal="center" vertical="center"/>
      <protection hidden="1"/>
    </xf>
    <xf numFmtId="10" fontId="3" fillId="2" borderId="0" xfId="2" applyNumberFormat="1" applyFont="1" applyFill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14" fontId="4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166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44" fontId="4" fillId="2" borderId="1" xfId="4" applyFont="1" applyFill="1" applyBorder="1" applyAlignment="1">
      <alignment horizontal="center" vertical="center" wrapText="1"/>
    </xf>
    <xf numFmtId="44" fontId="4" fillId="2" borderId="1" xfId="4" applyFont="1" applyFill="1" applyBorder="1" applyAlignment="1">
      <alignment horizontal="center"/>
    </xf>
    <xf numFmtId="0" fontId="4" fillId="0" borderId="0" xfId="12" applyFont="1" applyAlignment="1">
      <alignment horizontal="center"/>
    </xf>
    <xf numFmtId="44" fontId="4" fillId="2" borderId="0" xfId="4" applyFont="1" applyFill="1" applyAlignment="1">
      <alignment horizontal="center" vertical="center" wrapText="1"/>
    </xf>
    <xf numFmtId="43" fontId="4" fillId="2" borderId="1" xfId="1" applyFont="1" applyFill="1" applyBorder="1" applyAlignment="1" applyProtection="1">
      <alignment horizontal="left" vertical="center" wrapText="1"/>
      <protection hidden="1"/>
    </xf>
    <xf numFmtId="43" fontId="3" fillId="2" borderId="1" xfId="1" applyFont="1" applyFill="1" applyBorder="1" applyAlignment="1" applyProtection="1">
      <alignment horizontal="left" vertical="center" wrapText="1"/>
      <protection locked="0"/>
    </xf>
    <xf numFmtId="43" fontId="3" fillId="2" borderId="1" xfId="1" applyFont="1" applyFill="1" applyBorder="1" applyAlignment="1">
      <alignment horizontal="left" vertical="center" wrapText="1"/>
    </xf>
    <xf numFmtId="44" fontId="4" fillId="2" borderId="1" xfId="4" applyFont="1" applyFill="1" applyBorder="1" applyAlignment="1" applyProtection="1">
      <alignment horizontal="center" vertical="center"/>
      <protection locked="0" hidden="1"/>
    </xf>
    <xf numFmtId="44" fontId="3" fillId="3" borderId="1" xfId="4" applyFont="1" applyFill="1" applyBorder="1" applyAlignment="1">
      <alignment horizontal="center" vertical="center"/>
    </xf>
    <xf numFmtId="44" fontId="3" fillId="3" borderId="1" xfId="4" applyFont="1" applyFill="1" applyBorder="1" applyAlignment="1">
      <alignment horizontal="center"/>
    </xf>
    <xf numFmtId="0" fontId="19" fillId="0" borderId="0" xfId="12" applyAlignment="1">
      <alignment horizontal="center"/>
    </xf>
    <xf numFmtId="0" fontId="19" fillId="7" borderId="0" xfId="12" applyFill="1" applyAlignment="1">
      <alignment horizontal="center" vertical="center" wrapText="1"/>
    </xf>
    <xf numFmtId="44" fontId="3" fillId="2" borderId="7" xfId="4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4" fontId="4" fillId="3" borderId="5" xfId="0" applyNumberFormat="1" applyFont="1" applyFill="1" applyBorder="1" applyAlignment="1">
      <alignment vertical="center" wrapText="1"/>
    </xf>
    <xf numFmtId="43" fontId="4" fillId="3" borderId="5" xfId="1" applyFont="1" applyFill="1" applyBorder="1" applyAlignment="1">
      <alignment vertical="center" wrapText="1"/>
    </xf>
    <xf numFmtId="44" fontId="4" fillId="3" borderId="5" xfId="4" applyFont="1" applyFill="1" applyBorder="1" applyAlignment="1">
      <alignment horizontal="right" vertical="center" wrapText="1"/>
    </xf>
    <xf numFmtId="44" fontId="3" fillId="3" borderId="5" xfId="4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4" fillId="3" borderId="3" xfId="0" applyNumberFormat="1" applyFont="1" applyFill="1" applyBorder="1" applyAlignment="1">
      <alignment vertical="center" wrapText="1"/>
    </xf>
    <xf numFmtId="43" fontId="4" fillId="3" borderId="3" xfId="1" applyFont="1" applyFill="1" applyBorder="1" applyAlignment="1">
      <alignment vertical="center" wrapText="1"/>
    </xf>
    <xf numFmtId="44" fontId="4" fillId="3" borderId="3" xfId="4" applyFont="1" applyFill="1" applyBorder="1" applyAlignment="1">
      <alignment horizontal="right" vertical="center" wrapText="1"/>
    </xf>
    <xf numFmtId="44" fontId="3" fillId="3" borderId="3" xfId="4" applyFont="1" applyFill="1" applyBorder="1" applyAlignment="1">
      <alignment vertical="center" wrapText="1"/>
    </xf>
    <xf numFmtId="0" fontId="4" fillId="2" borderId="7" xfId="0" applyFont="1" applyFill="1" applyBorder="1" applyAlignment="1" applyProtection="1">
      <alignment vertical="center"/>
      <protection hidden="1"/>
    </xf>
    <xf numFmtId="44" fontId="4" fillId="2" borderId="7" xfId="4" applyFont="1" applyFill="1" applyBorder="1" applyAlignment="1">
      <alignment horizontal="right" wrapText="1"/>
    </xf>
    <xf numFmtId="44" fontId="4" fillId="2" borderId="7" xfId="4" applyFont="1" applyFill="1" applyBorder="1" applyAlignment="1" applyProtection="1">
      <alignment horizontal="center" vertical="center"/>
      <protection locked="0" hidden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wrapText="1"/>
    </xf>
    <xf numFmtId="44" fontId="4" fillId="2" borderId="7" xfId="4" applyFont="1" applyFill="1" applyBorder="1" applyAlignment="1">
      <alignment horizontal="center"/>
    </xf>
    <xf numFmtId="44" fontId="4" fillId="2" borderId="7" xfId="4" applyFont="1" applyFill="1" applyBorder="1" applyAlignment="1">
      <alignment horizontal="right" vertical="center" wrapText="1"/>
    </xf>
    <xf numFmtId="44" fontId="4" fillId="2" borderId="7" xfId="4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wrapText="1"/>
    </xf>
    <xf numFmtId="44" fontId="4" fillId="2" borderId="6" xfId="4" applyFont="1" applyFill="1" applyBorder="1" applyAlignment="1">
      <alignment horizontal="right" wrapText="1"/>
    </xf>
    <xf numFmtId="44" fontId="4" fillId="2" borderId="6" xfId="4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wrapText="1"/>
    </xf>
    <xf numFmtId="44" fontId="4" fillId="2" borderId="5" xfId="4" applyFont="1" applyFill="1" applyBorder="1" applyAlignment="1">
      <alignment horizontal="right" wrapText="1"/>
    </xf>
    <xf numFmtId="44" fontId="4" fillId="2" borderId="5" xfId="4" applyFont="1" applyFill="1" applyBorder="1" applyAlignment="1">
      <alignment horizontal="center"/>
    </xf>
    <xf numFmtId="0" fontId="4" fillId="2" borderId="5" xfId="0" applyFont="1" applyFill="1" applyBorder="1" applyAlignment="1" applyProtection="1">
      <alignment vertical="center"/>
      <protection hidden="1"/>
    </xf>
    <xf numFmtId="44" fontId="4" fillId="2" borderId="5" xfId="4" applyFont="1" applyFill="1" applyBorder="1" applyAlignment="1" applyProtection="1">
      <alignment horizontal="center" vertical="center"/>
      <protection locked="0" hidden="1"/>
    </xf>
    <xf numFmtId="0" fontId="4" fillId="2" borderId="6" xfId="0" applyFont="1" applyFill="1" applyBorder="1" applyAlignment="1" applyProtection="1">
      <alignment vertical="center" wrapText="1"/>
      <protection hidden="1"/>
    </xf>
    <xf numFmtId="44" fontId="4" fillId="2" borderId="6" xfId="4" applyFont="1" applyFill="1" applyBorder="1" applyAlignment="1">
      <alignment horizontal="right" vertical="center" wrapText="1"/>
    </xf>
    <xf numFmtId="44" fontId="4" fillId="2" borderId="6" xfId="4" applyFont="1" applyFill="1" applyBorder="1" applyAlignment="1" applyProtection="1">
      <alignment horizontal="center" vertical="center" wrapText="1"/>
      <protection locked="0" hidden="1"/>
    </xf>
    <xf numFmtId="0" fontId="4" fillId="2" borderId="6" xfId="0" applyFont="1" applyFill="1" applyBorder="1" applyAlignment="1" applyProtection="1">
      <alignment vertical="center"/>
      <protection hidden="1"/>
    </xf>
    <xf numFmtId="44" fontId="4" fillId="2" borderId="6" xfId="4" applyFont="1" applyFill="1" applyBorder="1" applyAlignment="1" applyProtection="1">
      <alignment vertical="center"/>
      <protection locked="0" hidden="1"/>
    </xf>
    <xf numFmtId="44" fontId="4" fillId="2" borderId="6" xfId="4" applyFont="1" applyFill="1" applyBorder="1" applyAlignment="1" applyProtection="1">
      <alignment horizontal="center" vertical="center"/>
      <protection locked="0" hidden="1"/>
    </xf>
    <xf numFmtId="44" fontId="4" fillId="2" borderId="5" xfId="4" applyFont="1" applyFill="1" applyBorder="1" applyAlignment="1">
      <alignment horizontal="right" vertical="center" wrapText="1"/>
    </xf>
    <xf numFmtId="44" fontId="4" fillId="2" borderId="5" xfId="4" applyFont="1" applyFill="1" applyBorder="1" applyAlignment="1">
      <alignment horizontal="center" vertical="center" wrapText="1"/>
    </xf>
    <xf numFmtId="44" fontId="4" fillId="2" borderId="6" xfId="4" applyFont="1" applyFill="1" applyBorder="1" applyAlignment="1">
      <alignment horizontal="center" vertical="center" wrapText="1"/>
    </xf>
    <xf numFmtId="0" fontId="4" fillId="0" borderId="1" xfId="12" applyFont="1" applyBorder="1" applyAlignment="1">
      <alignment horizontal="center"/>
    </xf>
    <xf numFmtId="0" fontId="4" fillId="7" borderId="1" xfId="12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vertical="center" wrapText="1"/>
      <protection hidden="1"/>
    </xf>
    <xf numFmtId="43" fontId="3" fillId="2" borderId="0" xfId="1" applyFont="1" applyFill="1" applyAlignment="1" applyProtection="1">
      <alignment vertical="center" wrapText="1"/>
      <protection hidden="1"/>
    </xf>
    <xf numFmtId="167" fontId="4" fillId="2" borderId="0" xfId="1" applyNumberFormat="1" applyFont="1" applyFill="1" applyBorder="1" applyAlignment="1">
      <alignment horizontal="right" vertical="center"/>
    </xf>
    <xf numFmtId="43" fontId="3" fillId="2" borderId="0" xfId="1" applyFont="1" applyFill="1" applyBorder="1" applyAlignment="1">
      <alignment horizontal="center" vertical="center" wrapText="1"/>
    </xf>
    <xf numFmtId="10" fontId="4" fillId="2" borderId="0" xfId="2" applyNumberFormat="1" applyFont="1" applyFill="1" applyBorder="1" applyAlignment="1">
      <alignment horizontal="right" vertical="center"/>
    </xf>
    <xf numFmtId="43" fontId="3" fillId="2" borderId="0" xfId="1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43" fontId="3" fillId="2" borderId="12" xfId="1" applyFont="1" applyFill="1" applyBorder="1" applyAlignment="1">
      <alignment horizontal="right" vertical="center" wrapText="1"/>
    </xf>
    <xf numFmtId="44" fontId="3" fillId="2" borderId="12" xfId="4" applyFont="1" applyFill="1" applyBorder="1" applyAlignment="1">
      <alignment horizontal="center"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43" fontId="3" fillId="8" borderId="1" xfId="1" applyFont="1" applyFill="1" applyBorder="1" applyAlignment="1" applyProtection="1">
      <alignment horizontal="center" vertical="center" wrapText="1"/>
    </xf>
    <xf numFmtId="43" fontId="22" fillId="2" borderId="0" xfId="0" applyNumberFormat="1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44" fontId="22" fillId="3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7" fillId="9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" fontId="26" fillId="0" borderId="1" xfId="13" applyNumberFormat="1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0" fontId="4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16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43" fontId="3" fillId="0" borderId="12" xfId="1" applyFont="1" applyFill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Fill="1" applyBorder="1" applyAlignment="1" applyProtection="1">
      <alignment horizontal="left" vertical="center" wrapText="1"/>
      <protection locked="0"/>
    </xf>
    <xf numFmtId="0" fontId="26" fillId="0" borderId="1" xfId="0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vertical="center" wrapText="1"/>
    </xf>
    <xf numFmtId="43" fontId="4" fillId="0" borderId="1" xfId="1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/>
    </xf>
    <xf numFmtId="44" fontId="4" fillId="0" borderId="1" xfId="4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4" fontId="27" fillId="0" borderId="1" xfId="0" applyNumberFormat="1" applyFont="1" applyFill="1" applyBorder="1" applyAlignment="1">
      <alignment vertical="center" wrapText="1"/>
    </xf>
    <xf numFmtId="168" fontId="7" fillId="0" borderId="1" xfId="0" applyNumberFormat="1" applyFont="1" applyFill="1" applyBorder="1" applyAlignment="1">
      <alignment vertical="center"/>
    </xf>
    <xf numFmtId="44" fontId="3" fillId="0" borderId="1" xfId="4" applyFont="1" applyFill="1" applyBorder="1" applyAlignment="1">
      <alignment vertical="center"/>
    </xf>
    <xf numFmtId="167" fontId="26" fillId="0" borderId="1" xfId="0" applyNumberFormat="1" applyFont="1" applyFill="1" applyBorder="1" applyAlignment="1">
      <alignment horizontal="center" vertical="center" wrapText="1"/>
    </xf>
    <xf numFmtId="169" fontId="3" fillId="0" borderId="1" xfId="4" applyNumberFormat="1" applyFont="1" applyFill="1" applyBorder="1" applyAlignment="1">
      <alignment vertical="center" wrapText="1"/>
    </xf>
    <xf numFmtId="44" fontId="4" fillId="0" borderId="1" xfId="4" applyFont="1" applyFill="1" applyBorder="1" applyAlignment="1">
      <alignment horizontal="center" vertical="center" wrapText="1"/>
    </xf>
    <xf numFmtId="44" fontId="4" fillId="0" borderId="0" xfId="4" applyFont="1" applyFill="1" applyAlignment="1">
      <alignment vertical="center" wrapText="1"/>
    </xf>
    <xf numFmtId="43" fontId="4" fillId="0" borderId="0" xfId="1" applyFont="1" applyFill="1" applyAlignment="1">
      <alignment vertical="center" wrapText="1"/>
    </xf>
    <xf numFmtId="44" fontId="4" fillId="0" borderId="0" xfId="4" applyFont="1" applyFill="1" applyBorder="1" applyAlignment="1">
      <alignment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43" fontId="4" fillId="4" borderId="1" xfId="1" applyFont="1" applyFill="1" applyBorder="1" applyAlignment="1">
      <alignment vertical="center" wrapText="1"/>
    </xf>
    <xf numFmtId="44" fontId="4" fillId="4" borderId="1" xfId="4" applyFont="1" applyFill="1" applyBorder="1" applyAlignment="1">
      <alignment horizontal="right" vertical="center" wrapText="1"/>
    </xf>
    <xf numFmtId="44" fontId="3" fillId="4" borderId="1" xfId="4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44" fontId="3" fillId="0" borderId="7" xfId="4" applyFont="1" applyFill="1" applyBorder="1" applyAlignment="1" applyProtection="1">
      <alignment horizontal="center" vertical="center" wrapText="1"/>
    </xf>
    <xf numFmtId="43" fontId="3" fillId="0" borderId="7" xfId="1" applyFont="1" applyFill="1" applyBorder="1" applyAlignment="1" applyProtection="1">
      <alignment horizontal="center" vertical="center" wrapText="1"/>
    </xf>
    <xf numFmtId="10" fontId="3" fillId="0" borderId="7" xfId="2" applyNumberFormat="1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168" fontId="3" fillId="0" borderId="1" xfId="4" applyNumberFormat="1" applyFont="1" applyFill="1" applyBorder="1" applyAlignment="1">
      <alignment vertical="center" wrapText="1"/>
    </xf>
    <xf numFmtId="44" fontId="4" fillId="0" borderId="1" xfId="4" applyFont="1" applyFill="1" applyBorder="1" applyAlignment="1">
      <alignment vertical="center" wrapText="1"/>
    </xf>
    <xf numFmtId="44" fontId="4" fillId="4" borderId="1" xfId="4" applyFont="1" applyFill="1" applyBorder="1" applyAlignment="1">
      <alignment vertical="center" wrapText="1"/>
    </xf>
    <xf numFmtId="44" fontId="4" fillId="4" borderId="1" xfId="4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 wrapText="1"/>
    </xf>
    <xf numFmtId="0" fontId="3" fillId="0" borderId="16" xfId="0" applyFont="1" applyFill="1" applyBorder="1" applyAlignment="1" applyProtection="1">
      <alignment vertical="center" wrapText="1"/>
    </xf>
    <xf numFmtId="43" fontId="4" fillId="0" borderId="1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43" fontId="4" fillId="0" borderId="0" xfId="1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4" fontId="4" fillId="4" borderId="1" xfId="4" applyNumberFormat="1" applyFont="1" applyFill="1" applyBorder="1" applyAlignment="1">
      <alignment horizontal="center" vertical="center" wrapText="1"/>
    </xf>
    <xf numFmtId="4" fontId="4" fillId="0" borderId="1" xfId="4" applyNumberFormat="1" applyFont="1" applyFill="1" applyBorder="1" applyAlignment="1">
      <alignment horizontal="center" vertical="center" wrapText="1"/>
    </xf>
    <xf numFmtId="4" fontId="4" fillId="0" borderId="0" xfId="4" applyNumberFormat="1" applyFont="1" applyFill="1" applyAlignment="1">
      <alignment horizontal="center" vertical="center" wrapText="1"/>
    </xf>
    <xf numFmtId="43" fontId="4" fillId="0" borderId="0" xfId="1" applyFont="1" applyFill="1" applyAlignment="1">
      <alignment horizontal="center" vertical="center"/>
    </xf>
    <xf numFmtId="10" fontId="4" fillId="4" borderId="1" xfId="4" applyNumberFormat="1" applyFont="1" applyFill="1" applyBorder="1" applyAlignment="1">
      <alignment horizontal="center" vertical="center" wrapText="1"/>
    </xf>
    <xf numFmtId="10" fontId="4" fillId="0" borderId="1" xfId="4" applyNumberFormat="1" applyFont="1" applyFill="1" applyBorder="1" applyAlignment="1">
      <alignment horizontal="center" vertical="center" wrapText="1"/>
    </xf>
    <xf numFmtId="10" fontId="4" fillId="0" borderId="0" xfId="1" applyNumberFormat="1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center"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44" fontId="3" fillId="0" borderId="0" xfId="4" applyFont="1" applyFill="1" applyBorder="1" applyAlignment="1">
      <alignment vertical="center" wrapText="1"/>
    </xf>
    <xf numFmtId="43" fontId="4" fillId="0" borderId="0" xfId="0" applyNumberFormat="1" applyFont="1" applyFill="1" applyBorder="1" applyAlignment="1">
      <alignment horizontal="center" vertical="center" wrapText="1"/>
    </xf>
    <xf numFmtId="43" fontId="4" fillId="0" borderId="0" xfId="0" applyNumberFormat="1" applyFont="1" applyFill="1" applyBorder="1" applyAlignment="1">
      <alignment vertical="center" wrapText="1"/>
    </xf>
    <xf numFmtId="168" fontId="4" fillId="0" borderId="0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9" borderId="0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170" fontId="6" fillId="2" borderId="0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170" fontId="6" fillId="2" borderId="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 vertical="center"/>
    </xf>
    <xf numFmtId="0" fontId="7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Alignment="1">
      <alignment vertical="center" wrapText="1"/>
    </xf>
    <xf numFmtId="0" fontId="6" fillId="2" borderId="0" xfId="0" applyNumberFormat="1" applyFont="1" applyFill="1" applyBorder="1" applyAlignment="1">
      <alignment horizontal="left" vertical="center"/>
    </xf>
    <xf numFmtId="0" fontId="7" fillId="2" borderId="0" xfId="0" applyNumberFormat="1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>
      <alignment horizontal="center" vertical="center"/>
    </xf>
    <xf numFmtId="171" fontId="6" fillId="2" borderId="0" xfId="0" applyNumberFormat="1" applyFont="1" applyFill="1" applyBorder="1" applyAlignment="1">
      <alignment horizontal="left" vertical="center" wrapText="1"/>
    </xf>
    <xf numFmtId="171" fontId="6" fillId="2" borderId="0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43" fontId="9" fillId="4" borderId="0" xfId="0" applyNumberFormat="1" applyFont="1" applyFill="1" applyBorder="1" applyAlignment="1">
      <alignment horizontal="center" vertical="center" wrapText="1"/>
    </xf>
    <xf numFmtId="43" fontId="9" fillId="0" borderId="0" xfId="0" applyNumberFormat="1" applyFont="1" applyFill="1" applyBorder="1" applyAlignment="1">
      <alignment horizontal="center" vertical="center" wrapText="1"/>
    </xf>
    <xf numFmtId="44" fontId="3" fillId="0" borderId="1" xfId="1" applyNumberFormat="1" applyFont="1" applyFill="1" applyBorder="1" applyAlignment="1">
      <alignment vertical="center" wrapText="1"/>
    </xf>
    <xf numFmtId="44" fontId="4" fillId="0" borderId="1" xfId="1" applyNumberFormat="1" applyFont="1" applyFill="1" applyBorder="1" applyAlignment="1">
      <alignment vertical="center" wrapText="1"/>
    </xf>
    <xf numFmtId="43" fontId="4" fillId="0" borderId="0" xfId="0" applyNumberFormat="1" applyFont="1" applyFill="1" applyBorder="1" applyAlignment="1">
      <alignment vertical="center"/>
    </xf>
    <xf numFmtId="44" fontId="4" fillId="4" borderId="0" xfId="0" applyNumberFormat="1" applyFont="1" applyFill="1" applyBorder="1" applyAlignment="1">
      <alignment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left" vertical="center" wrapText="1"/>
    </xf>
    <xf numFmtId="2" fontId="7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49" fontId="3" fillId="2" borderId="1" xfId="3" applyNumberFormat="1" applyFont="1" applyFill="1" applyBorder="1" applyAlignment="1">
      <alignment horizontal="center" vertical="center"/>
    </xf>
    <xf numFmtId="49" fontId="3" fillId="2" borderId="1" xfId="3" applyNumberFormat="1" applyFont="1" applyFill="1" applyBorder="1" applyAlignment="1">
      <alignment horizontal="center" vertical="center" wrapText="1"/>
    </xf>
    <xf numFmtId="167" fontId="3" fillId="2" borderId="1" xfId="13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vertical="center"/>
    </xf>
    <xf numFmtId="2" fontId="4" fillId="0" borderId="1" xfId="0" applyNumberFormat="1" applyFont="1" applyFill="1" applyBorder="1" applyAlignment="1">
      <alignment horizontal="right" vertical="center" wrapText="1"/>
    </xf>
    <xf numFmtId="43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44" fontId="8" fillId="0" borderId="0" xfId="4" applyFont="1" applyFill="1" applyAlignment="1">
      <alignment vertical="center" wrapText="1"/>
    </xf>
    <xf numFmtId="4" fontId="28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44" fontId="8" fillId="0" borderId="1" xfId="4" applyFont="1" applyFill="1" applyBorder="1" applyAlignment="1">
      <alignment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vertical="center" wrapText="1"/>
    </xf>
    <xf numFmtId="44" fontId="3" fillId="0" borderId="1" xfId="4" applyFont="1" applyFill="1" applyBorder="1" applyAlignment="1">
      <alignment horizontal="right" vertical="center" wrapText="1"/>
    </xf>
    <xf numFmtId="44" fontId="3" fillId="0" borderId="1" xfId="4" applyFont="1" applyFill="1" applyBorder="1" applyAlignment="1">
      <alignment vertical="center" wrapText="1"/>
    </xf>
    <xf numFmtId="4" fontId="29" fillId="0" borderId="1" xfId="0" applyNumberFormat="1" applyFont="1" applyFill="1" applyBorder="1" applyAlignment="1">
      <alignment vertical="center" wrapText="1"/>
    </xf>
    <xf numFmtId="0" fontId="24" fillId="2" borderId="0" xfId="0" applyFont="1" applyFill="1" applyBorder="1" applyAlignment="1">
      <alignment vertical="center" wrapText="1"/>
    </xf>
    <xf numFmtId="2" fontId="4" fillId="0" borderId="1" xfId="4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 wrapText="1"/>
    </xf>
    <xf numFmtId="169" fontId="4" fillId="0" borderId="1" xfId="4" applyNumberFormat="1" applyFont="1" applyFill="1" applyBorder="1" applyAlignment="1">
      <alignment horizontal="right" vertical="center" wrapText="1"/>
    </xf>
    <xf numFmtId="4" fontId="4" fillId="0" borderId="1" xfId="4" applyNumberFormat="1" applyFont="1" applyFill="1" applyBorder="1" applyAlignment="1">
      <alignment horizontal="right" vertical="center" wrapText="1"/>
    </xf>
    <xf numFmtId="10" fontId="4" fillId="0" borderId="1" xfId="4" applyNumberFormat="1" applyFont="1" applyFill="1" applyBorder="1" applyAlignment="1">
      <alignment horizontal="right" vertical="center" wrapText="1"/>
    </xf>
    <xf numFmtId="2" fontId="4" fillId="0" borderId="1" xfId="4" applyNumberFormat="1" applyFont="1" applyFill="1" applyBorder="1" applyAlignment="1">
      <alignment horizontal="right" vertical="center" wrapText="1"/>
    </xf>
    <xf numFmtId="169" fontId="4" fillId="0" borderId="1" xfId="4" applyNumberFormat="1" applyFont="1" applyFill="1" applyBorder="1" applyAlignment="1">
      <alignment vertical="center" wrapText="1"/>
    </xf>
    <xf numFmtId="2" fontId="4" fillId="0" borderId="1" xfId="1" applyNumberFormat="1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vertical="center"/>
    </xf>
    <xf numFmtId="4" fontId="4" fillId="0" borderId="1" xfId="1" applyNumberFormat="1" applyFont="1" applyFill="1" applyBorder="1" applyAlignment="1">
      <alignment vertical="center" wrapText="1"/>
    </xf>
    <xf numFmtId="4" fontId="3" fillId="0" borderId="1" xfId="1" applyNumberFormat="1" applyFont="1" applyFill="1" applyBorder="1" applyAlignment="1">
      <alignment vertical="center" wrapText="1"/>
    </xf>
    <xf numFmtId="4" fontId="3" fillId="4" borderId="1" xfId="4" applyNumberFormat="1" applyFont="1" applyFill="1" applyBorder="1" applyAlignment="1">
      <alignment horizontal="right" vertical="center" wrapText="1"/>
    </xf>
    <xf numFmtId="4" fontId="4" fillId="4" borderId="1" xfId="1" applyNumberFormat="1" applyFont="1" applyFill="1" applyBorder="1" applyAlignment="1">
      <alignment vertical="center" wrapText="1"/>
    </xf>
    <xf numFmtId="169" fontId="4" fillId="0" borderId="1" xfId="1" applyNumberFormat="1" applyFont="1" applyFill="1" applyBorder="1" applyAlignment="1">
      <alignment vertical="center" wrapText="1"/>
    </xf>
    <xf numFmtId="169" fontId="3" fillId="4" borderId="1" xfId="4" applyNumberFormat="1" applyFont="1" applyFill="1" applyBorder="1" applyAlignment="1">
      <alignment horizontal="right" vertical="center" wrapText="1"/>
    </xf>
    <xf numFmtId="43" fontId="3" fillId="4" borderId="1" xfId="1" applyFont="1" applyFill="1" applyBorder="1" applyAlignment="1">
      <alignment horizontal="right" vertical="center" wrapText="1"/>
    </xf>
    <xf numFmtId="4" fontId="4" fillId="0" borderId="1" xfId="4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4" fontId="4" fillId="0" borderId="1" xfId="1" applyNumberFormat="1" applyFont="1" applyFill="1" applyBorder="1" applyAlignment="1">
      <alignment horizontal="right" vertical="center" wrapText="1"/>
    </xf>
    <xf numFmtId="4" fontId="3" fillId="0" borderId="1" xfId="1" applyNumberFormat="1" applyFont="1" applyFill="1" applyBorder="1" applyAlignment="1">
      <alignment horizontal="right" vertical="center" wrapText="1"/>
    </xf>
    <xf numFmtId="4" fontId="4" fillId="0" borderId="1" xfId="4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horizontal="right" vertical="center" wrapText="1"/>
    </xf>
    <xf numFmtId="43" fontId="3" fillId="0" borderId="0" xfId="0" applyNumberFormat="1" applyFont="1" applyFill="1" applyBorder="1" applyAlignment="1">
      <alignment horizontal="center" vertical="center" wrapText="1"/>
    </xf>
    <xf numFmtId="169" fontId="4" fillId="0" borderId="1" xfId="4" applyNumberFormat="1" applyFont="1" applyFill="1" applyBorder="1" applyAlignment="1">
      <alignment horizontal="center" vertical="center" wrapText="1"/>
    </xf>
    <xf numFmtId="169" fontId="3" fillId="4" borderId="1" xfId="4" applyNumberFormat="1" applyFont="1" applyFill="1" applyBorder="1" applyAlignment="1">
      <alignment horizontal="center" vertical="center" wrapText="1"/>
    </xf>
    <xf numFmtId="4" fontId="3" fillId="4" borderId="1" xfId="4" applyNumberFormat="1" applyFont="1" applyFill="1" applyBorder="1" applyAlignment="1">
      <alignment horizontal="center" vertical="center" wrapText="1"/>
    </xf>
    <xf numFmtId="10" fontId="3" fillId="4" borderId="1" xfId="4" applyNumberFormat="1" applyFont="1" applyFill="1" applyBorder="1" applyAlignment="1">
      <alignment horizontal="center" vertical="center" wrapText="1"/>
    </xf>
    <xf numFmtId="44" fontId="3" fillId="4" borderId="1" xfId="4" applyFont="1" applyFill="1" applyBorder="1" applyAlignment="1">
      <alignment vertical="center" wrapText="1"/>
    </xf>
    <xf numFmtId="43" fontId="3" fillId="4" borderId="1" xfId="1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21" fillId="2" borderId="13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167" fontId="4" fillId="2" borderId="7" xfId="1" applyNumberFormat="1" applyFont="1" applyFill="1" applyBorder="1" applyAlignment="1">
      <alignment horizontal="right" vertical="center"/>
    </xf>
    <xf numFmtId="167" fontId="4" fillId="2" borderId="1" xfId="1" applyNumberFormat="1" applyFont="1" applyFill="1" applyBorder="1" applyAlignment="1">
      <alignment horizontal="right" vertical="center"/>
    </xf>
    <xf numFmtId="43" fontId="4" fillId="2" borderId="7" xfId="1" applyFont="1" applyFill="1" applyBorder="1" applyAlignment="1">
      <alignment horizontal="right" vertical="center"/>
    </xf>
    <xf numFmtId="167" fontId="4" fillId="2" borderId="7" xfId="1" applyNumberFormat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10" fontId="4" fillId="2" borderId="1" xfId="2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0" fontId="3" fillId="2" borderId="2" xfId="2" applyNumberFormat="1" applyFont="1" applyFill="1" applyBorder="1" applyAlignment="1" applyProtection="1">
      <alignment horizontal="center" vertical="center" wrapText="1"/>
    </xf>
    <xf numFmtId="10" fontId="3" fillId="2" borderId="3" xfId="2" applyNumberFormat="1" applyFont="1" applyFill="1" applyBorder="1" applyAlignment="1" applyProtection="1">
      <alignment horizontal="center" vertical="center" wrapText="1"/>
    </xf>
    <xf numFmtId="10" fontId="3" fillId="2" borderId="4" xfId="2" applyNumberFormat="1" applyFont="1" applyFill="1" applyBorder="1" applyAlignment="1" applyProtection="1">
      <alignment horizontal="center" vertical="center" wrapText="1"/>
    </xf>
    <xf numFmtId="10" fontId="4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0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2" borderId="2" xfId="2" applyNumberFormat="1" applyFont="1" applyFill="1" applyBorder="1" applyAlignment="1" applyProtection="1">
      <alignment horizontal="center" vertical="center" wrapText="1"/>
      <protection hidden="1"/>
    </xf>
    <xf numFmtId="10" fontId="4" fillId="2" borderId="3" xfId="2" applyNumberFormat="1" applyFont="1" applyFill="1" applyBorder="1" applyAlignment="1" applyProtection="1">
      <alignment horizontal="center" vertical="center" wrapText="1"/>
      <protection hidden="1"/>
    </xf>
    <xf numFmtId="10" fontId="4" fillId="2" borderId="4" xfId="2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>
      <alignment horizontal="left"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1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1" xfId="1" applyNumberFormat="1" applyFont="1" applyFill="1" applyBorder="1" applyAlignment="1">
      <alignment horizontal="left" vertical="center" wrapText="1"/>
    </xf>
    <xf numFmtId="167" fontId="3" fillId="2" borderId="3" xfId="1" applyNumberFormat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10" fontId="3" fillId="2" borderId="1" xfId="2" applyNumberFormat="1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 hidden="1"/>
    </xf>
    <xf numFmtId="14" fontId="4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10" fontId="4" fillId="2" borderId="1" xfId="2" applyNumberFormat="1" applyFont="1" applyFill="1" applyBorder="1" applyAlignment="1" applyProtection="1">
      <alignment horizontal="left" vertical="center" wrapText="1"/>
      <protection locked="0" hidden="1"/>
    </xf>
    <xf numFmtId="0" fontId="7" fillId="2" borderId="0" xfId="0" applyFont="1" applyFill="1" applyAlignment="1">
      <alignment horizontal="center" vertical="center" wrapText="1"/>
    </xf>
    <xf numFmtId="0" fontId="11" fillId="6" borderId="8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10" fontId="3" fillId="0" borderId="2" xfId="2" applyNumberFormat="1" applyFont="1" applyFill="1" applyBorder="1" applyAlignment="1" applyProtection="1">
      <alignment horizontal="left" vertical="center" wrapText="1"/>
      <protection hidden="1"/>
    </xf>
    <xf numFmtId="10" fontId="3" fillId="0" borderId="3" xfId="2" applyNumberFormat="1" applyFont="1" applyFill="1" applyBorder="1" applyAlignment="1" applyProtection="1">
      <alignment horizontal="left" vertical="center" wrapText="1"/>
      <protection hidden="1"/>
    </xf>
    <xf numFmtId="10" fontId="3" fillId="0" borderId="4" xfId="2" applyNumberFormat="1" applyFont="1" applyFill="1" applyBorder="1" applyAlignment="1" applyProtection="1">
      <alignment horizontal="left" vertical="center" wrapText="1"/>
      <protection hidden="1"/>
    </xf>
    <xf numFmtId="0" fontId="24" fillId="2" borderId="0" xfId="0" applyFont="1" applyFill="1" applyBorder="1" applyAlignment="1">
      <alignment horizontal="left" vertical="center" wrapText="1"/>
    </xf>
    <xf numFmtId="168" fontId="3" fillId="0" borderId="2" xfId="1" applyNumberFormat="1" applyFont="1" applyFill="1" applyBorder="1" applyAlignment="1" applyProtection="1">
      <alignment horizontal="center" vertical="center" wrapText="1"/>
    </xf>
    <xf numFmtId="168" fontId="3" fillId="0" borderId="19" xfId="1" applyNumberFormat="1" applyFont="1" applyFill="1" applyBorder="1" applyAlignment="1" applyProtection="1">
      <alignment horizontal="center" vertical="center" wrapText="1"/>
    </xf>
    <xf numFmtId="167" fontId="3" fillId="0" borderId="20" xfId="1" applyNumberFormat="1" applyFont="1" applyFill="1" applyBorder="1" applyAlignment="1">
      <alignment horizontal="right" vertical="center"/>
    </xf>
    <xf numFmtId="167" fontId="3" fillId="0" borderId="3" xfId="1" applyNumberFormat="1" applyFont="1" applyFill="1" applyBorder="1" applyAlignment="1">
      <alignment horizontal="right" vertical="center"/>
    </xf>
    <xf numFmtId="167" fontId="3" fillId="0" borderId="4" xfId="1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 applyProtection="1">
      <alignment horizontal="left" vertical="center" wrapText="1"/>
      <protection hidden="1"/>
    </xf>
    <xf numFmtId="0" fontId="4" fillId="0" borderId="3" xfId="0" applyFont="1" applyFill="1" applyBorder="1" applyAlignment="1" applyProtection="1">
      <alignment horizontal="left" vertical="center" wrapText="1"/>
      <protection hidden="1"/>
    </xf>
    <xf numFmtId="0" fontId="4" fillId="0" borderId="4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0" fontId="3" fillId="0" borderId="2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7" fontId="3" fillId="0" borderId="2" xfId="1" applyNumberFormat="1" applyFont="1" applyFill="1" applyBorder="1" applyAlignment="1">
      <alignment horizontal="left" vertical="center" wrapText="1"/>
    </xf>
    <xf numFmtId="167" fontId="3" fillId="0" borderId="3" xfId="1" applyNumberFormat="1" applyFont="1" applyFill="1" applyBorder="1" applyAlignment="1">
      <alignment horizontal="left" vertical="center" wrapText="1"/>
    </xf>
    <xf numFmtId="167" fontId="3" fillId="0" borderId="4" xfId="1" applyNumberFormat="1" applyFont="1" applyFill="1" applyBorder="1" applyAlignment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1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2" xfId="2" applyNumberFormat="1" applyFont="1" applyFill="1" applyBorder="1" applyAlignment="1" applyProtection="1">
      <alignment horizontal="left" vertical="center" wrapText="1"/>
      <protection locked="0"/>
    </xf>
    <xf numFmtId="14" fontId="3" fillId="0" borderId="3" xfId="2" applyNumberFormat="1" applyFont="1" applyFill="1" applyBorder="1" applyAlignment="1" applyProtection="1">
      <alignment horizontal="left" vertical="center" wrapText="1"/>
      <protection locked="0"/>
    </xf>
    <xf numFmtId="14" fontId="3" fillId="0" borderId="4" xfId="2" applyNumberFormat="1" applyFont="1" applyFill="1" applyBorder="1" applyAlignment="1" applyProtection="1">
      <alignment horizontal="left" vertical="center" wrapText="1"/>
      <protection locked="0"/>
    </xf>
    <xf numFmtId="0" fontId="3" fillId="0" borderId="21" xfId="0" applyFont="1" applyFill="1" applyBorder="1" applyAlignment="1" applyProtection="1">
      <alignment horizontal="center" vertical="center" wrapText="1"/>
      <protection hidden="1"/>
    </xf>
    <xf numFmtId="0" fontId="3" fillId="0" borderId="22" xfId="0" applyFont="1" applyFill="1" applyBorder="1" applyAlignment="1" applyProtection="1">
      <alignment horizontal="center" vertical="center" wrapText="1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hidden="1"/>
    </xf>
    <xf numFmtId="10" fontId="3" fillId="0" borderId="2" xfId="2" applyNumberFormat="1" applyFont="1" applyFill="1" applyBorder="1" applyAlignment="1" applyProtection="1">
      <alignment horizontal="left" vertical="center" wrapText="1"/>
      <protection locked="0"/>
    </xf>
    <xf numFmtId="10" fontId="3" fillId="0" borderId="3" xfId="2" applyNumberFormat="1" applyFont="1" applyFill="1" applyBorder="1" applyAlignment="1" applyProtection="1">
      <alignment horizontal="left" vertical="center" wrapText="1"/>
      <protection locked="0"/>
    </xf>
    <xf numFmtId="10" fontId="3" fillId="0" borderId="4" xfId="2" applyNumberFormat="1" applyFont="1" applyFill="1" applyBorder="1" applyAlignment="1" applyProtection="1">
      <alignment horizontal="left" vertical="center" wrapText="1"/>
      <protection locked="0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left" vertical="center" wrapText="1"/>
    </xf>
    <xf numFmtId="0" fontId="25" fillId="4" borderId="3" xfId="0" applyFont="1" applyFill="1" applyBorder="1" applyAlignment="1">
      <alignment horizontal="left" vertical="center" wrapText="1"/>
    </xf>
    <xf numFmtId="0" fontId="25" fillId="4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left" vertical="center" wrapText="1"/>
    </xf>
    <xf numFmtId="14" fontId="4" fillId="0" borderId="2" xfId="0" applyNumberFormat="1" applyFont="1" applyFill="1" applyBorder="1" applyAlignment="1" applyProtection="1">
      <alignment horizontal="left" vertical="center" wrapText="1"/>
      <protection locked="0" hidden="1"/>
    </xf>
    <xf numFmtId="14" fontId="4" fillId="0" borderId="3" xfId="0" applyNumberFormat="1" applyFont="1" applyFill="1" applyBorder="1" applyAlignment="1" applyProtection="1">
      <alignment horizontal="left" vertical="center" wrapText="1"/>
      <protection locked="0" hidden="1"/>
    </xf>
    <xf numFmtId="14" fontId="4" fillId="0" borderId="4" xfId="0" applyNumberFormat="1" applyFont="1" applyFill="1" applyBorder="1" applyAlignment="1" applyProtection="1">
      <alignment horizontal="left" vertical="center" wrapText="1"/>
      <protection locked="0" hidden="1"/>
    </xf>
    <xf numFmtId="0" fontId="26" fillId="0" borderId="2" xfId="0" applyFont="1" applyFill="1" applyBorder="1" applyAlignment="1" applyProtection="1">
      <alignment horizontal="center" vertical="center" wrapText="1"/>
      <protection locked="0"/>
    </xf>
    <xf numFmtId="0" fontId="26" fillId="0" borderId="3" xfId="0" applyFont="1" applyFill="1" applyBorder="1" applyAlignment="1" applyProtection="1">
      <alignment horizontal="center" vertical="center" wrapText="1"/>
      <protection locked="0"/>
    </xf>
    <xf numFmtId="0" fontId="26" fillId="0" borderId="4" xfId="0" applyFont="1" applyFill="1" applyBorder="1" applyAlignment="1" applyProtection="1">
      <alignment horizontal="center" vertical="center" wrapText="1"/>
      <protection locked="0"/>
    </xf>
    <xf numFmtId="10" fontId="3" fillId="0" borderId="2" xfId="2" applyNumberFormat="1" applyFont="1" applyFill="1" applyBorder="1" applyAlignment="1" applyProtection="1">
      <alignment horizontal="center" vertical="center" wrapText="1"/>
    </xf>
    <xf numFmtId="10" fontId="3" fillId="0" borderId="3" xfId="2" applyNumberFormat="1" applyFont="1" applyFill="1" applyBorder="1" applyAlignment="1" applyProtection="1">
      <alignment horizontal="center" vertical="center" wrapText="1"/>
    </xf>
    <xf numFmtId="10" fontId="3" fillId="0" borderId="4" xfId="2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49" fontId="3" fillId="2" borderId="2" xfId="3" applyNumberFormat="1" applyFont="1" applyFill="1" applyBorder="1" applyAlignment="1">
      <alignment horizontal="left" vertical="center" wrapText="1"/>
    </xf>
    <xf numFmtId="49" fontId="3" fillId="2" borderId="3" xfId="3" applyNumberFormat="1" applyFont="1" applyFill="1" applyBorder="1" applyAlignment="1">
      <alignment horizontal="left" vertical="center" wrapText="1"/>
    </xf>
    <xf numFmtId="49" fontId="3" fillId="2" borderId="4" xfId="3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horizontal="center" vertical="center" wrapText="1"/>
    </xf>
    <xf numFmtId="2" fontId="7" fillId="9" borderId="1" xfId="0" applyNumberFormat="1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7" fillId="9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</cellXfs>
  <cellStyles count="14">
    <cellStyle name="Excel Built-in Normal" xfId="8"/>
    <cellStyle name="Hyperlink" xfId="12" builtinId="8"/>
    <cellStyle name="Moeda" xfId="4" builtinId="4"/>
    <cellStyle name="Moeda 2" xfId="9"/>
    <cellStyle name="Normal" xfId="0" builtinId="0"/>
    <cellStyle name="Normal 2" xfId="3"/>
    <cellStyle name="Normal 2 2" xfId="5"/>
    <cellStyle name="Normal 2 3" xfId="10"/>
    <cellStyle name="Porcentagem" xfId="2" builtinId="5"/>
    <cellStyle name="Porcentagem 2" xfId="6"/>
    <cellStyle name="Porcentagem 2 2" xfId="7"/>
    <cellStyle name="Separador de milhares" xfId="1" builtinId="3"/>
    <cellStyle name="Separador de milhares 2" xfId="11"/>
    <cellStyle name="Vírgula 5" xfId="13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26</xdr:row>
      <xdr:rowOff>0</xdr:rowOff>
    </xdr:from>
    <xdr:to>
      <xdr:col>1</xdr:col>
      <xdr:colOff>723900</xdr:colOff>
      <xdr:row>26</xdr:row>
      <xdr:rowOff>47625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8225" y="1771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26</xdr:row>
      <xdr:rowOff>0</xdr:rowOff>
    </xdr:from>
    <xdr:to>
      <xdr:col>1</xdr:col>
      <xdr:colOff>723900</xdr:colOff>
      <xdr:row>26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8225" y="1771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723900</xdr:colOff>
      <xdr:row>25</xdr:row>
      <xdr:rowOff>0</xdr:rowOff>
    </xdr:from>
    <xdr:ext cx="0" cy="47625"/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52525" y="316230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723900</xdr:colOff>
      <xdr:row>25</xdr:row>
      <xdr:rowOff>0</xdr:rowOff>
    </xdr:from>
    <xdr:ext cx="0" cy="47625"/>
    <xdr:pic>
      <xdr:nvPicPr>
        <xdr:cNvPr id="5" name="Picture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52525" y="316230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52915</xdr:colOff>
      <xdr:row>0</xdr:row>
      <xdr:rowOff>42332</xdr:rowOff>
    </xdr:from>
    <xdr:to>
      <xdr:col>1</xdr:col>
      <xdr:colOff>539749</xdr:colOff>
      <xdr:row>1</xdr:row>
      <xdr:rowOff>42332</xdr:rowOff>
    </xdr:to>
    <xdr:pic>
      <xdr:nvPicPr>
        <xdr:cNvPr id="2" name="Imagem 1" descr="logomarca final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915" y="42332"/>
          <a:ext cx="1100667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723900</xdr:colOff>
      <xdr:row>0</xdr:row>
      <xdr:rowOff>0</xdr:rowOff>
    </xdr:from>
    <xdr:to>
      <xdr:col>2</xdr:col>
      <xdr:colOff>723900</xdr:colOff>
      <xdr:row>7</xdr:row>
      <xdr:rowOff>3175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8225" y="205740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723900</xdr:colOff>
      <xdr:row>0</xdr:row>
      <xdr:rowOff>0</xdr:rowOff>
    </xdr:from>
    <xdr:to>
      <xdr:col>2</xdr:col>
      <xdr:colOff>723900</xdr:colOff>
      <xdr:row>7</xdr:row>
      <xdr:rowOff>3175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8225" y="205740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15</xdr:row>
      <xdr:rowOff>0</xdr:rowOff>
    </xdr:from>
    <xdr:to>
      <xdr:col>1</xdr:col>
      <xdr:colOff>723900</xdr:colOff>
      <xdr:row>15</xdr:row>
      <xdr:rowOff>47625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52525" y="2152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15</xdr:row>
      <xdr:rowOff>0</xdr:rowOff>
    </xdr:from>
    <xdr:to>
      <xdr:col>1</xdr:col>
      <xdr:colOff>723900</xdr:colOff>
      <xdr:row>15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52525" y="2152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723900</xdr:colOff>
      <xdr:row>15</xdr:row>
      <xdr:rowOff>0</xdr:rowOff>
    </xdr:from>
    <xdr:ext cx="0" cy="47625"/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52525" y="19145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723900</xdr:colOff>
      <xdr:row>15</xdr:row>
      <xdr:rowOff>0</xdr:rowOff>
    </xdr:from>
    <xdr:ext cx="0" cy="47625"/>
    <xdr:pic>
      <xdr:nvPicPr>
        <xdr:cNvPr id="5" name="Picture 2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52525" y="19145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0</xdr:colOff>
      <xdr:row>0</xdr:row>
      <xdr:rowOff>0</xdr:rowOff>
    </xdr:from>
    <xdr:to>
      <xdr:col>7</xdr:col>
      <xdr:colOff>235385</xdr:colOff>
      <xdr:row>5</xdr:row>
      <xdr:rowOff>14654</xdr:rowOff>
    </xdr:to>
    <xdr:pic>
      <xdr:nvPicPr>
        <xdr:cNvPr id="7" name="Imagem 6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28846" y="0"/>
          <a:ext cx="3268731" cy="893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1</xdr:col>
      <xdr:colOff>1114425</xdr:colOff>
      <xdr:row>3</xdr:row>
      <xdr:rowOff>30014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25F96E8E-40BE-413A-B715-83933A800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675" y="47625"/>
          <a:ext cx="1457325" cy="525314"/>
        </a:xfrm>
        <a:prstGeom prst="rect">
          <a:avLst/>
        </a:prstGeom>
      </xdr:spPr>
    </xdr:pic>
    <xdr:clientData/>
  </xdr:twoCellAnchor>
  <xdr:twoCellAnchor editAs="oneCell">
    <xdr:from>
      <xdr:col>1</xdr:col>
      <xdr:colOff>2180168</xdr:colOff>
      <xdr:row>85</xdr:row>
      <xdr:rowOff>84667</xdr:rowOff>
    </xdr:from>
    <xdr:to>
      <xdr:col>4</xdr:col>
      <xdr:colOff>465666</xdr:colOff>
      <xdr:row>86</xdr:row>
      <xdr:rowOff>186500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30E76C57-1A15-4135-A944-7B8185BB1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2918" y="13716000"/>
          <a:ext cx="1682748" cy="260583"/>
        </a:xfrm>
        <a:prstGeom prst="rect">
          <a:avLst/>
        </a:prstGeom>
      </xdr:spPr>
    </xdr:pic>
    <xdr:clientData/>
  </xdr:twoCellAnchor>
  <xdr:oneCellAnchor>
    <xdr:from>
      <xdr:col>1</xdr:col>
      <xdr:colOff>2180168</xdr:colOff>
      <xdr:row>111</xdr:row>
      <xdr:rowOff>84667</xdr:rowOff>
    </xdr:from>
    <xdr:ext cx="1682748" cy="260583"/>
    <xdr:pic>
      <xdr:nvPicPr>
        <xdr:cNvPr id="4" name="Imagem 3">
          <a:extLst>
            <a:ext uri="{FF2B5EF4-FFF2-40B4-BE49-F238E27FC236}">
              <a16:creationId xmlns:a16="http://schemas.microsoft.com/office/drawing/2014/main" xmlns="" id="{8997F323-BF13-4176-8405-035DAC543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2918" y="13716000"/>
          <a:ext cx="1682748" cy="260583"/>
        </a:xfrm>
        <a:prstGeom prst="rect">
          <a:avLst/>
        </a:prstGeom>
      </xdr:spPr>
    </xdr:pic>
    <xdr:clientData/>
  </xdr:oneCellAnchor>
  <xdr:oneCellAnchor>
    <xdr:from>
      <xdr:col>1</xdr:col>
      <xdr:colOff>2180168</xdr:colOff>
      <xdr:row>137</xdr:row>
      <xdr:rowOff>84667</xdr:rowOff>
    </xdr:from>
    <xdr:ext cx="1682748" cy="260583"/>
    <xdr:pic>
      <xdr:nvPicPr>
        <xdr:cNvPr id="5" name="Imagem 4">
          <a:extLst>
            <a:ext uri="{FF2B5EF4-FFF2-40B4-BE49-F238E27FC236}">
              <a16:creationId xmlns:a16="http://schemas.microsoft.com/office/drawing/2014/main" xmlns="" id="{97F0D7B8-07F7-4BA2-B917-0AB5961AF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2918" y="17949334"/>
          <a:ext cx="1682748" cy="260583"/>
        </a:xfrm>
        <a:prstGeom prst="rect">
          <a:avLst/>
        </a:prstGeom>
      </xdr:spPr>
    </xdr:pic>
    <xdr:clientData/>
  </xdr:oneCellAnchor>
  <xdr:oneCellAnchor>
    <xdr:from>
      <xdr:col>1</xdr:col>
      <xdr:colOff>2180168</xdr:colOff>
      <xdr:row>163</xdr:row>
      <xdr:rowOff>84667</xdr:rowOff>
    </xdr:from>
    <xdr:ext cx="1682748" cy="260583"/>
    <xdr:pic>
      <xdr:nvPicPr>
        <xdr:cNvPr id="6" name="Imagem 5">
          <a:extLst>
            <a:ext uri="{FF2B5EF4-FFF2-40B4-BE49-F238E27FC236}">
              <a16:creationId xmlns:a16="http://schemas.microsoft.com/office/drawing/2014/main" xmlns="" id="{E588C9C1-319A-4E34-9A7C-01150B0FE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2918" y="22182667"/>
          <a:ext cx="1682748" cy="260583"/>
        </a:xfrm>
        <a:prstGeom prst="rect">
          <a:avLst/>
        </a:prstGeom>
      </xdr:spPr>
    </xdr:pic>
    <xdr:clientData/>
  </xdr:oneCellAnchor>
  <xdr:oneCellAnchor>
    <xdr:from>
      <xdr:col>1</xdr:col>
      <xdr:colOff>2180168</xdr:colOff>
      <xdr:row>189</xdr:row>
      <xdr:rowOff>84667</xdr:rowOff>
    </xdr:from>
    <xdr:ext cx="1682748" cy="260583"/>
    <xdr:pic>
      <xdr:nvPicPr>
        <xdr:cNvPr id="7" name="Imagem 6">
          <a:extLst>
            <a:ext uri="{FF2B5EF4-FFF2-40B4-BE49-F238E27FC236}">
              <a16:creationId xmlns:a16="http://schemas.microsoft.com/office/drawing/2014/main" xmlns="" id="{75BED1F8-B3BC-4A9A-B5DD-D869056BF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89743" y="26916592"/>
          <a:ext cx="1682748" cy="26058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.2.135/orse/composicao.asp?font_sg_fonte=ORSE&amp;serv_nr_codigo=11366&amp;peri_nr_ano=2018&amp;peri_nr_mes=9&amp;peri_nr_ordem=1" TargetMode="External"/><Relationship Id="rId18" Type="http://schemas.openxmlformats.org/officeDocument/2006/relationships/hyperlink" Target="http://187.17.2.135/orse/composicao.asp?font_sg_fonte=SINAPI&amp;serv_nr_codigo=88483&amp;peri_nr_ano=2018&amp;peri_nr_mes=9&amp;peri_nr_ordem=1" TargetMode="External"/><Relationship Id="rId26" Type="http://schemas.openxmlformats.org/officeDocument/2006/relationships/hyperlink" Target="http://187.17.2.135/orse/composicao.asp?font_sg_fonte=ORSE&amp;serv_nr_codigo=1430&amp;peri_nr_ano=2018&amp;peri_nr_mes=9&amp;peri_nr_ordem=1" TargetMode="External"/><Relationship Id="rId39" Type="http://schemas.openxmlformats.org/officeDocument/2006/relationships/hyperlink" Target="http://187.17.2.135/orse/composicao.asp?font_sg_fonte=ORSE&amp;serv_nr_codigo=9933&amp;peri_nr_ano=2018&amp;peri_nr_mes=9&amp;peri_nr_ordem=1" TargetMode="External"/><Relationship Id="rId21" Type="http://schemas.openxmlformats.org/officeDocument/2006/relationships/hyperlink" Target="http://187.17.2.135/orse/composicao.asp?font_sg_fonte=ORSE&amp;serv_nr_codigo=7695&amp;peri_nr_ano=2018&amp;peri_nr_mes=9&amp;peri_nr_ordem=1" TargetMode="External"/><Relationship Id="rId34" Type="http://schemas.openxmlformats.org/officeDocument/2006/relationships/hyperlink" Target="http://187.17.2.135/orse/composicao.asp?font_sg_fonte=ORSE&amp;serv_nr_codigo=9965&amp;peri_nr_ano=2018&amp;peri_nr_mes=9&amp;peri_nr_ordem=1" TargetMode="External"/><Relationship Id="rId42" Type="http://schemas.openxmlformats.org/officeDocument/2006/relationships/hyperlink" Target="http://187.17.2.135/orse/composicao.asp?font_sg_fonte=ORSE&amp;serv_nr_codigo=11187&amp;peri_nr_ano=2018&amp;peri_nr_mes=9&amp;peri_nr_ordem=1" TargetMode="External"/><Relationship Id="rId47" Type="http://schemas.openxmlformats.org/officeDocument/2006/relationships/hyperlink" Target="http://187.17.2.135/orse/composicao.asp?font_sg_fonte=SINAPI&amp;serv_nr_codigo=92025&amp;peri_nr_ano=2018&amp;peri_nr_mes=9&amp;peri_nr_ordem=1" TargetMode="External"/><Relationship Id="rId50" Type="http://schemas.openxmlformats.org/officeDocument/2006/relationships/hyperlink" Target="http://187.17.2.135/orse/composicao.asp?font_sg_fonte=SINAPI&amp;serv_nr_codigo=93663&amp;peri_nr_ano=2018&amp;peri_nr_mes=9&amp;peri_nr_ordem=1" TargetMode="External"/><Relationship Id="rId55" Type="http://schemas.openxmlformats.org/officeDocument/2006/relationships/hyperlink" Target="http://187.17.2.135/orse/composicao.asp?font_sg_fonte=ORSE&amp;serv_nr_codigo=2410&amp;peri_nr_ano=2018&amp;peri_nr_mes=9&amp;peri_nr_ordem=1" TargetMode="External"/><Relationship Id="rId7" Type="http://schemas.openxmlformats.org/officeDocument/2006/relationships/hyperlink" Target="http://187.17.2.135/orse/composicao.asp?font_sg_fonte=SINAPI&amp;serv_nr_codigo=91328&amp;peri_nr_ano=2018&amp;peri_nr_mes=9&amp;peri_nr_ordem=1" TargetMode="External"/><Relationship Id="rId12" Type="http://schemas.openxmlformats.org/officeDocument/2006/relationships/hyperlink" Target="http://187.17.2.135/orse/composicao.asp?font_sg_fonte=ORSE&amp;serv_nr_codigo=3315&amp;peri_nr_ano=2018&amp;peri_nr_mes=9&amp;peri_nr_ordem=1" TargetMode="External"/><Relationship Id="rId17" Type="http://schemas.openxmlformats.org/officeDocument/2006/relationships/hyperlink" Target="http://187.17.2.135/orse/composicao.asp?font_sg_fonte=ORSE&amp;serv_nr_codigo=10169&amp;peri_nr_ano=2018&amp;peri_nr_mes=9&amp;peri_nr_ordem=1" TargetMode="External"/><Relationship Id="rId25" Type="http://schemas.openxmlformats.org/officeDocument/2006/relationships/hyperlink" Target="http://187.17.2.135/orse/composicao.asp?font_sg_fonte=ORSE&amp;serv_nr_codigo=2291&amp;peri_nr_ano=2018&amp;peri_nr_mes=9&amp;peri_nr_ordem=1" TargetMode="External"/><Relationship Id="rId33" Type="http://schemas.openxmlformats.org/officeDocument/2006/relationships/hyperlink" Target="http://187.17.2.135/orse/composicao.asp?font_sg_fonte=SINAPI&amp;serv_nr_codigo=86882&amp;peri_nr_ano=2018&amp;peri_nr_mes=9&amp;peri_nr_ordem=1" TargetMode="External"/><Relationship Id="rId38" Type="http://schemas.openxmlformats.org/officeDocument/2006/relationships/hyperlink" Target="http://187.17.2.135/orse/composicao.asp?font_sg_fonte=SINAPI&amp;serv_nr_codigo=95808&amp;peri_nr_ano=2018&amp;peri_nr_mes=9&amp;peri_nr_ordem=1" TargetMode="External"/><Relationship Id="rId46" Type="http://schemas.openxmlformats.org/officeDocument/2006/relationships/hyperlink" Target="http://187.17.2.135/orse/composicao.asp?font_sg_fonte=ORSE&amp;serv_nr_codigo=478&amp;peri_nr_ano=2018&amp;peri_nr_mes=9&amp;peri_nr_ordem=1" TargetMode="External"/><Relationship Id="rId59" Type="http://schemas.openxmlformats.org/officeDocument/2006/relationships/drawing" Target="../drawings/drawing1.xml"/><Relationship Id="rId2" Type="http://schemas.openxmlformats.org/officeDocument/2006/relationships/hyperlink" Target="http://187.17.2.135/orse/composicao.asp?font_sg_fonte=SINAPI&amp;serv_nr_codigo=742021&amp;peri_nr_ano=2018&amp;peri_nr_mes=9&amp;peri_nr_ordem=1" TargetMode="External"/><Relationship Id="rId16" Type="http://schemas.openxmlformats.org/officeDocument/2006/relationships/hyperlink" Target="http://187.17.2.135/orse/composicao.asp?font_sg_fonte=ORSE&amp;serv_nr_codigo=7681&amp;peri_nr_ano=2018&amp;peri_nr_mes=9&amp;peri_nr_ordem=1" TargetMode="External"/><Relationship Id="rId20" Type="http://schemas.openxmlformats.org/officeDocument/2006/relationships/hyperlink" Target="http://187.17.2.135/orse/composicao.asp?font_sg_fonte=ORSE&amp;serv_nr_codigo=8624&amp;peri_nr_ano=2018&amp;peri_nr_mes=9&amp;peri_nr_ordem=1" TargetMode="External"/><Relationship Id="rId29" Type="http://schemas.openxmlformats.org/officeDocument/2006/relationships/hyperlink" Target="http://187.17.2.135/orse/composicao.asp?font_sg_fonte=SINAPI&amp;serv_nr_codigo=86915&amp;peri_nr_ano=2018&amp;peri_nr_mes=9&amp;peri_nr_ordem=1" TargetMode="External"/><Relationship Id="rId41" Type="http://schemas.openxmlformats.org/officeDocument/2006/relationships/hyperlink" Target="http://187.17.2.135/orse/composicao.asp?font_sg_fonte=ORSE&amp;serv_nr_codigo=11186&amp;peri_nr_ano=2018&amp;peri_nr_mes=9&amp;peri_nr_ordem=1" TargetMode="External"/><Relationship Id="rId54" Type="http://schemas.openxmlformats.org/officeDocument/2006/relationships/hyperlink" Target="http://187.17.2.135/orse/composicao.asp?font_sg_fonte=ORSE&amp;serv_nr_codigo=10759&amp;peri_nr_ano=2018&amp;peri_nr_mes=9&amp;peri_nr_ordem=1" TargetMode="External"/><Relationship Id="rId1" Type="http://schemas.openxmlformats.org/officeDocument/2006/relationships/hyperlink" Target="http://187.17.2.135/orse/composicao.asp?font_sg_fonte=SINAPI&amp;serv_nr_codigo=95956&amp;peri_nr_ano=2018&amp;peri_nr_mes=9&amp;peri_nr_ordem=1" TargetMode="External"/><Relationship Id="rId6" Type="http://schemas.openxmlformats.org/officeDocument/2006/relationships/hyperlink" Target="http://187.17.2.135/orse/composicao.asp?font_sg_fonte=SINAPI&amp;serv_nr_codigo=90844&amp;peri_nr_ano=2018&amp;peri_nr_mes=9&amp;peri_nr_ordem=1" TargetMode="External"/><Relationship Id="rId11" Type="http://schemas.openxmlformats.org/officeDocument/2006/relationships/hyperlink" Target="http://187.17.2.135/orse/composicao.asp?font_sg_fonte=SINAPI&amp;serv_nr_codigo=89173&amp;peri_nr_ano=2018&amp;peri_nr_mes=9&amp;peri_nr_ordem=1" TargetMode="External"/><Relationship Id="rId24" Type="http://schemas.openxmlformats.org/officeDocument/2006/relationships/hyperlink" Target="http://187.17.2.135/orse/composicao.asp?font_sg_fonte=SINAPI&amp;serv_nr_codigo=72815&amp;peri_nr_ano=2018&amp;peri_nr_mes=9&amp;peri_nr_ordem=1" TargetMode="External"/><Relationship Id="rId32" Type="http://schemas.openxmlformats.org/officeDocument/2006/relationships/hyperlink" Target="http://187.17.2.135/orse/composicao.asp?font_sg_fonte=ORSE&amp;serv_nr_codigo=4282&amp;peri_nr_ano=2018&amp;peri_nr_mes=9&amp;peri_nr_ordem=1" TargetMode="External"/><Relationship Id="rId37" Type="http://schemas.openxmlformats.org/officeDocument/2006/relationships/hyperlink" Target="http://187.17.2.135/orse/composicao.asp?font_sg_fonte=SINAPI&amp;serv_nr_codigo=95795&amp;peri_nr_ano=2018&amp;peri_nr_mes=9&amp;peri_nr_ordem=1" TargetMode="External"/><Relationship Id="rId40" Type="http://schemas.openxmlformats.org/officeDocument/2006/relationships/hyperlink" Target="http://187.17.2.135/orse/composicao.asp?font_sg_fonte=ORSE&amp;serv_nr_codigo=784&amp;peri_nr_ano=2018&amp;peri_nr_mes=9&amp;peri_nr_ordem=1" TargetMode="External"/><Relationship Id="rId45" Type="http://schemas.openxmlformats.org/officeDocument/2006/relationships/hyperlink" Target="http://187.17.2.135/orse/composicao.asp?font_sg_fonte=ORSE&amp;serv_nr_codigo=780&amp;peri_nr_ano=2018&amp;peri_nr_mes=9&amp;peri_nr_ordem=1" TargetMode="External"/><Relationship Id="rId53" Type="http://schemas.openxmlformats.org/officeDocument/2006/relationships/hyperlink" Target="http://187.17.2.135/orse/composicao.asp?font_sg_fonte=ORSE&amp;serv_nr_codigo=12034&amp;peri_nr_ano=2018&amp;peri_nr_mes=9&amp;peri_nr_ordem=1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187.17.2.135/orse/composicao.asp?font_sg_fonte=SINAPI&amp;serv_nr_codigo=739371&amp;peri_nr_ano=2018&amp;peri_nr_mes=9&amp;peri_nr_ordem=1" TargetMode="External"/><Relationship Id="rId15" Type="http://schemas.openxmlformats.org/officeDocument/2006/relationships/hyperlink" Target="http://187.17.2.135/orse/composicao.asp?font_sg_fonte=ORSE&amp;serv_nr_codigo=9962&amp;peri_nr_ano=2018&amp;peri_nr_mes=9&amp;peri_nr_ordem=1" TargetMode="External"/><Relationship Id="rId23" Type="http://schemas.openxmlformats.org/officeDocument/2006/relationships/hyperlink" Target="http://187.17.2.135/orse/composicao.asp?font_sg_fonte=ORSE&amp;serv_nr_codigo=2339&amp;peri_nr_ano=2018&amp;peri_nr_mes=9&amp;peri_nr_ordem=1" TargetMode="External"/><Relationship Id="rId28" Type="http://schemas.openxmlformats.org/officeDocument/2006/relationships/hyperlink" Target="http://187.17.2.135/orse/composicao.asp?font_sg_fonte=ORSE&amp;serv_nr_codigo=9963&amp;peri_nr_ano=2018&amp;peri_nr_mes=9&amp;peri_nr_ordem=1" TargetMode="External"/><Relationship Id="rId36" Type="http://schemas.openxmlformats.org/officeDocument/2006/relationships/hyperlink" Target="http://187.17.2.135/orse/composicao.asp?font_sg_fonte=ORSE&amp;serv_nr_codigo=4421&amp;peri_nr_ano=2018&amp;peri_nr_mes=9&amp;peri_nr_ordem=1" TargetMode="External"/><Relationship Id="rId49" Type="http://schemas.openxmlformats.org/officeDocument/2006/relationships/hyperlink" Target="http://187.17.2.135/orse/composicao.asp?font_sg_fonte=SINAPI&amp;serv_nr_codigo=93662&amp;peri_nr_ano=2018&amp;peri_nr_mes=9&amp;peri_nr_ordem=1" TargetMode="External"/><Relationship Id="rId57" Type="http://schemas.openxmlformats.org/officeDocument/2006/relationships/hyperlink" Target="http://187.17.2.135/orse/composicao.asp?font_sg_fonte=ORSE&amp;serv_nr_codigo=1889&amp;peri_nr_ano=2018&amp;peri_nr_mes=9&amp;peri_nr_ordem=1" TargetMode="External"/><Relationship Id="rId10" Type="http://schemas.openxmlformats.org/officeDocument/2006/relationships/hyperlink" Target="http://187.17.2.135/orse/composicao.asp?font_sg_fonte=SINAPI&amp;serv_nr_codigo=87893&amp;peri_nr_ano=2018&amp;peri_nr_mes=9&amp;peri_nr_ordem=1" TargetMode="External"/><Relationship Id="rId19" Type="http://schemas.openxmlformats.org/officeDocument/2006/relationships/hyperlink" Target="http://187.17.2.135/orse/composicao.asp?font_sg_fonte=SINAPI&amp;serv_nr_codigo=41595&amp;peri_nr_ano=2018&amp;peri_nr_mes=9&amp;peri_nr_ordem=1" TargetMode="External"/><Relationship Id="rId31" Type="http://schemas.openxmlformats.org/officeDocument/2006/relationships/hyperlink" Target="http://187.17.2.135/orse/composicao.asp?font_sg_fonte=ORSE&amp;serv_nr_codigo=2060&amp;peri_nr_ano=2018&amp;peri_nr_mes=9&amp;peri_nr_ordem=1" TargetMode="External"/><Relationship Id="rId44" Type="http://schemas.openxmlformats.org/officeDocument/2006/relationships/hyperlink" Target="http://187.17.2.135/orse/composicao.asp?font_sg_fonte=ORSE&amp;serv_nr_codigo=9968&amp;peri_nr_ano=2018&amp;peri_nr_mes=9&amp;peri_nr_ordem=1" TargetMode="External"/><Relationship Id="rId52" Type="http://schemas.openxmlformats.org/officeDocument/2006/relationships/hyperlink" Target="http://187.17.2.135/orse/composicao.asp?font_sg_fonte=ORSE&amp;serv_nr_codigo=570&amp;peri_nr_ano=2018&amp;peri_nr_mes=9&amp;peri_nr_ordem=1" TargetMode="External"/><Relationship Id="rId4" Type="http://schemas.openxmlformats.org/officeDocument/2006/relationships/hyperlink" Target="http://187.17.2.135/orse/composicao.asp?font_sg_fonte=SINAPI&amp;serv_nr_codigo=739373&amp;peri_nr_ano=2018&amp;peri_nr_mes=9&amp;peri_nr_ordem=1" TargetMode="External"/><Relationship Id="rId9" Type="http://schemas.openxmlformats.org/officeDocument/2006/relationships/hyperlink" Target="http://187.17.2.135/orse/composicao.asp?font_sg_fonte=SINAPI&amp;serv_nr_codigo=91333&amp;peri_nr_ano=2018&amp;peri_nr_mes=9&amp;peri_nr_ordem=1" TargetMode="External"/><Relationship Id="rId14" Type="http://schemas.openxmlformats.org/officeDocument/2006/relationships/hyperlink" Target="http://187.17.2.135/orse/composicao.asp?font_sg_fonte=SINAPI&amp;serv_nr_codigo=89045&amp;peri_nr_ano=2018&amp;peri_nr_mes=9&amp;peri_nr_ordem=1" TargetMode="External"/><Relationship Id="rId22" Type="http://schemas.openxmlformats.org/officeDocument/2006/relationships/hyperlink" Target="http://187.17.2.135/orse/composicao.asp?font_sg_fonte=ORSE&amp;serv_nr_codigo=2339&amp;peri_nr_ano=2018&amp;peri_nr_mes=9&amp;peri_nr_ordem=1" TargetMode="External"/><Relationship Id="rId27" Type="http://schemas.openxmlformats.org/officeDocument/2006/relationships/hyperlink" Target="http://187.17.2.135/orse/composicao.asp?font_sg_fonte=SINAPI&amp;serv_nr_codigo=86884&amp;peri_nr_ano=2018&amp;peri_nr_mes=9&amp;peri_nr_ordem=1" TargetMode="External"/><Relationship Id="rId30" Type="http://schemas.openxmlformats.org/officeDocument/2006/relationships/hyperlink" Target="http://187.17.2.135/orse/composicao.asp?font_sg_fonte=ORSE&amp;serv_nr_codigo=4281&amp;peri_nr_ano=2018&amp;peri_nr_mes=9&amp;peri_nr_ordem=1" TargetMode="External"/><Relationship Id="rId35" Type="http://schemas.openxmlformats.org/officeDocument/2006/relationships/hyperlink" Target="http://187.17.2.135/orse/composicao.asp?font_sg_fonte=ORSE&amp;serv_nr_codigo=7752&amp;peri_nr_ano=2018&amp;peri_nr_mes=9&amp;peri_nr_ordem=1" TargetMode="External"/><Relationship Id="rId43" Type="http://schemas.openxmlformats.org/officeDocument/2006/relationships/hyperlink" Target="http://187.17.2.135/orse/composicao.asp?font_sg_fonte=ORSE&amp;serv_nr_codigo=3801&amp;peri_nr_ano=2018&amp;peri_nr_mes=9&amp;peri_nr_ordem=1" TargetMode="External"/><Relationship Id="rId48" Type="http://schemas.openxmlformats.org/officeDocument/2006/relationships/hyperlink" Target="http://187.17.2.135/orse/composicao.asp?font_sg_fonte=SINAPI&amp;serv_nr_codigo=93653&amp;peri_nr_ano=2018&amp;peri_nr_mes=9&amp;peri_nr_ordem=1" TargetMode="External"/><Relationship Id="rId56" Type="http://schemas.openxmlformats.org/officeDocument/2006/relationships/hyperlink" Target="http://187.17.2.135/orse/composicao.asp?font_sg_fonte=ORSE&amp;serv_nr_codigo=8492&amp;peri_nr_ano=2018&amp;peri_nr_mes=9&amp;peri_nr_ordem=1" TargetMode="External"/><Relationship Id="rId8" Type="http://schemas.openxmlformats.org/officeDocument/2006/relationships/hyperlink" Target="http://187.17.2.135/orse/composicao.asp?font_sg_fonte=SINAPI&amp;serv_nr_codigo=91332&amp;peri_nr_ano=2018&amp;peri_nr_mes=9&amp;peri_nr_ordem=1" TargetMode="External"/><Relationship Id="rId51" Type="http://schemas.openxmlformats.org/officeDocument/2006/relationships/hyperlink" Target="http://187.17.2.135/orse/composicao.asp?font_sg_fonte=ORSE&amp;serv_nr_codigo=3954&amp;peri_nr_ano=2018&amp;peri_nr_mes=9&amp;peri_nr_ordem=1" TargetMode="External"/><Relationship Id="rId3" Type="http://schemas.openxmlformats.org/officeDocument/2006/relationships/hyperlink" Target="http://187.17.2.135/orse/composicao.asp?font_sg_fonte=ORSE&amp;serv_nr_codigo=154&amp;peri_nr_ano=2018&amp;peri_nr_mes=9&amp;peri_nr_ordem=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AP417"/>
  <sheetViews>
    <sheetView view="pageBreakPreview" topLeftCell="S1" zoomScaleSheetLayoutView="100" workbookViewId="0">
      <pane ySplit="25" topLeftCell="A26" activePane="bottomLeft" state="frozen"/>
      <selection pane="bottomLeft" activeCell="AA28" sqref="AA28"/>
    </sheetView>
  </sheetViews>
  <sheetFormatPr defaultColWidth="9.140625" defaultRowHeight="12.75"/>
  <cols>
    <col min="1" max="1" width="6.42578125" style="88" customWidth="1"/>
    <col min="2" max="2" width="49.42578125" style="88" customWidth="1"/>
    <col min="3" max="3" width="9.42578125" style="88" customWidth="1"/>
    <col min="4" max="4" width="11.5703125" style="98" customWidth="1"/>
    <col min="5" max="5" width="15" style="99" customWidth="1"/>
    <col min="6" max="6" width="15" style="98" hidden="1" customWidth="1"/>
    <col min="7" max="7" width="15" style="99" hidden="1" customWidth="1"/>
    <col min="8" max="8" width="20" style="99" customWidth="1"/>
    <col min="9" max="9" width="15" style="184" hidden="1" customWidth="1"/>
    <col min="10" max="10" width="15" style="101" hidden="1" customWidth="1"/>
    <col min="11" max="18" width="15.42578125" style="101" hidden="1" customWidth="1"/>
    <col min="19" max="22" width="15.42578125" style="101" customWidth="1"/>
    <col min="23" max="23" width="18.140625" style="102" customWidth="1"/>
    <col min="24" max="24" width="14.140625" style="102" customWidth="1"/>
    <col min="25" max="25" width="15.140625" style="102" customWidth="1"/>
    <col min="26" max="26" width="19.42578125" style="99" customWidth="1"/>
    <col min="27" max="27" width="15" style="100" customWidth="1"/>
    <col min="28" max="28" width="20" style="85" customWidth="1"/>
    <col min="29" max="29" width="19" style="85" customWidth="1"/>
    <col min="30" max="34" width="9.140625" style="85" customWidth="1"/>
    <col min="35" max="42" width="9.140625" style="85"/>
    <col min="43" max="16384" width="9.140625" style="88"/>
  </cols>
  <sheetData>
    <row r="1" spans="1:32" ht="81.75" hidden="1" customHeight="1">
      <c r="A1" s="237" t="s">
        <v>396</v>
      </c>
      <c r="B1" s="237"/>
      <c r="C1" s="237"/>
      <c r="D1" s="170"/>
      <c r="E1" s="170"/>
      <c r="F1" s="238"/>
      <c r="G1" s="170"/>
      <c r="H1" s="170"/>
      <c r="I1" s="237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2"/>
      <c r="X1" s="172"/>
      <c r="Y1" s="172"/>
      <c r="Z1" s="170"/>
      <c r="AA1" s="170"/>
      <c r="AB1" s="170"/>
      <c r="AD1" s="86"/>
      <c r="AE1" s="86"/>
      <c r="AF1" s="87"/>
    </row>
    <row r="2" spans="1:32" ht="12" hidden="1" customHeight="1">
      <c r="A2" s="433" t="s">
        <v>370</v>
      </c>
      <c r="B2" s="433"/>
      <c r="C2" s="433"/>
      <c r="D2" s="433"/>
      <c r="E2" s="433"/>
      <c r="F2" s="185"/>
      <c r="G2" s="168"/>
      <c r="H2" s="21" t="s">
        <v>371</v>
      </c>
      <c r="I2" s="178"/>
      <c r="J2" s="107"/>
      <c r="K2" s="107"/>
      <c r="L2" s="114"/>
      <c r="M2" s="114"/>
      <c r="N2" s="138"/>
      <c r="O2" s="159"/>
      <c r="P2" s="161"/>
      <c r="Q2" s="163"/>
      <c r="R2" s="164"/>
      <c r="S2" s="248"/>
      <c r="T2" s="167"/>
      <c r="U2" s="167"/>
      <c r="V2" s="177"/>
      <c r="W2" s="26" t="s">
        <v>372</v>
      </c>
      <c r="X2" s="458" t="s">
        <v>373</v>
      </c>
      <c r="Y2" s="458"/>
      <c r="Z2" s="459"/>
      <c r="AA2" s="459" t="s">
        <v>374</v>
      </c>
      <c r="AB2" s="459"/>
    </row>
    <row r="3" spans="1:32" s="85" customFormat="1" ht="21" hidden="1" customHeight="1">
      <c r="A3" s="432" t="s">
        <v>363</v>
      </c>
      <c r="B3" s="432"/>
      <c r="C3" s="432"/>
      <c r="D3" s="432"/>
      <c r="E3" s="432"/>
      <c r="F3" s="186"/>
      <c r="G3" s="176"/>
      <c r="H3" s="22">
        <v>9</v>
      </c>
      <c r="I3" s="179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1">
        <v>43067</v>
      </c>
      <c r="X3" s="460" t="s">
        <v>436</v>
      </c>
      <c r="Y3" s="460"/>
      <c r="Z3" s="461"/>
      <c r="AA3" s="461">
        <v>42718</v>
      </c>
      <c r="AB3" s="461"/>
    </row>
    <row r="4" spans="1:32" s="85" customFormat="1" ht="19.5" hidden="1" customHeight="1">
      <c r="A4" s="433" t="s">
        <v>375</v>
      </c>
      <c r="B4" s="433"/>
      <c r="C4" s="433"/>
      <c r="D4" s="433"/>
      <c r="E4" s="433"/>
      <c r="F4" s="185"/>
      <c r="G4" s="168"/>
      <c r="H4" s="21" t="s">
        <v>376</v>
      </c>
      <c r="I4" s="178"/>
      <c r="J4" s="107"/>
      <c r="K4" s="107"/>
      <c r="L4" s="114"/>
      <c r="M4" s="114"/>
      <c r="N4" s="138"/>
      <c r="O4" s="159"/>
      <c r="P4" s="161"/>
      <c r="Q4" s="163"/>
      <c r="R4" s="164"/>
      <c r="S4" s="248"/>
      <c r="T4" s="167"/>
      <c r="U4" s="167"/>
      <c r="V4" s="177"/>
      <c r="W4" s="26" t="s">
        <v>377</v>
      </c>
      <c r="X4" s="462" t="s">
        <v>378</v>
      </c>
      <c r="Y4" s="463"/>
      <c r="Z4" s="464"/>
      <c r="AA4" s="459" t="s">
        <v>379</v>
      </c>
      <c r="AB4" s="459"/>
      <c r="AC4" s="27"/>
    </row>
    <row r="5" spans="1:32" s="85" customFormat="1" ht="19.5" hidden="1" customHeight="1">
      <c r="A5" s="432" t="s">
        <v>398</v>
      </c>
      <c r="B5" s="432"/>
      <c r="C5" s="432"/>
      <c r="D5" s="432"/>
      <c r="E5" s="432"/>
      <c r="F5" s="186"/>
      <c r="G5" s="176"/>
      <c r="H5" s="23" t="s">
        <v>395</v>
      </c>
      <c r="I5" s="180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3">
        <v>42705</v>
      </c>
      <c r="X5" s="467">
        <v>43135</v>
      </c>
      <c r="Y5" s="468"/>
      <c r="Z5" s="469"/>
      <c r="AA5" s="461" t="s">
        <v>393</v>
      </c>
      <c r="AB5" s="461"/>
      <c r="AC5" s="28"/>
      <c r="AD5" s="28"/>
      <c r="AE5" s="28"/>
      <c r="AF5" s="28"/>
    </row>
    <row r="6" spans="1:32" s="85" customFormat="1" ht="19.5" hidden="1" customHeight="1">
      <c r="A6" s="433" t="s">
        <v>380</v>
      </c>
      <c r="B6" s="433"/>
      <c r="C6" s="433"/>
      <c r="D6" s="433"/>
      <c r="E6" s="433"/>
      <c r="F6" s="185"/>
      <c r="G6" s="168"/>
      <c r="H6" s="474" t="s">
        <v>381</v>
      </c>
      <c r="I6" s="475"/>
      <c r="J6" s="476"/>
      <c r="K6" s="476"/>
      <c r="L6" s="476"/>
      <c r="M6" s="476"/>
      <c r="N6" s="476"/>
      <c r="O6" s="476"/>
      <c r="P6" s="476"/>
      <c r="Q6" s="476"/>
      <c r="R6" s="476"/>
      <c r="S6" s="476"/>
      <c r="T6" s="476"/>
      <c r="U6" s="476"/>
      <c r="V6" s="476"/>
      <c r="W6" s="477"/>
      <c r="X6" s="477"/>
      <c r="Y6" s="477"/>
      <c r="Z6" s="474"/>
      <c r="AA6" s="459" t="s">
        <v>382</v>
      </c>
      <c r="AB6" s="459"/>
      <c r="AC6" s="28"/>
      <c r="AD6" s="28"/>
      <c r="AE6" s="28"/>
      <c r="AF6" s="28"/>
    </row>
    <row r="7" spans="1:32" s="85" customFormat="1" ht="29.25" hidden="1" customHeight="1">
      <c r="A7" s="465" t="s">
        <v>397</v>
      </c>
      <c r="B7" s="465"/>
      <c r="C7" s="465"/>
      <c r="D7" s="465"/>
      <c r="E7" s="465"/>
      <c r="F7" s="187"/>
      <c r="G7" s="169"/>
      <c r="H7" s="470" t="s">
        <v>383</v>
      </c>
      <c r="I7" s="471"/>
      <c r="J7" s="472"/>
      <c r="K7" s="472"/>
      <c r="L7" s="472"/>
      <c r="M7" s="472"/>
      <c r="N7" s="472"/>
      <c r="O7" s="472"/>
      <c r="P7" s="472"/>
      <c r="Q7" s="472"/>
      <c r="R7" s="472"/>
      <c r="S7" s="472"/>
      <c r="T7" s="472"/>
      <c r="U7" s="472"/>
      <c r="V7" s="472"/>
      <c r="W7" s="473"/>
      <c r="X7" s="473"/>
      <c r="Y7" s="473"/>
      <c r="Z7" s="470"/>
      <c r="AA7" s="466">
        <v>550194.43999999994</v>
      </c>
      <c r="AB7" s="466"/>
      <c r="AC7" s="28"/>
      <c r="AD7" s="28"/>
      <c r="AE7" s="28"/>
      <c r="AF7" s="28"/>
    </row>
    <row r="8" spans="1:32" s="85" customFormat="1" ht="30" hidden="1" customHeight="1">
      <c r="A8" s="444" t="s">
        <v>394</v>
      </c>
      <c r="B8" s="444"/>
      <c r="C8" s="444"/>
      <c r="D8" s="445"/>
      <c r="E8" s="445"/>
      <c r="F8" s="446"/>
      <c r="G8" s="445"/>
      <c r="H8" s="445"/>
      <c r="I8" s="447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9"/>
      <c r="X8" s="449"/>
      <c r="Y8" s="449"/>
      <c r="Z8" s="445"/>
      <c r="AA8" s="466" t="e">
        <f>AA233</f>
        <v>#REF!</v>
      </c>
      <c r="AB8" s="466"/>
      <c r="AC8" s="28"/>
      <c r="AD8" s="28"/>
      <c r="AE8" s="28"/>
      <c r="AF8" s="28"/>
    </row>
    <row r="9" spans="1:32" s="85" customFormat="1" hidden="1">
      <c r="A9" s="434" t="s">
        <v>363</v>
      </c>
      <c r="B9" s="435"/>
      <c r="C9" s="435"/>
      <c r="D9" s="436"/>
      <c r="E9" s="436"/>
      <c r="F9" s="435"/>
      <c r="G9" s="436"/>
      <c r="H9" s="436"/>
      <c r="I9" s="435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1"/>
      <c r="X9" s="241"/>
      <c r="Y9" s="241"/>
      <c r="Z9" s="239"/>
      <c r="AA9" s="242"/>
      <c r="AB9" s="242"/>
      <c r="AC9" s="28"/>
      <c r="AD9" s="28"/>
      <c r="AE9" s="28"/>
      <c r="AF9" s="28"/>
    </row>
    <row r="10" spans="1:32" s="85" customFormat="1" hidden="1">
      <c r="A10" s="434"/>
      <c r="B10" s="435"/>
      <c r="C10" s="435"/>
      <c r="D10" s="436"/>
      <c r="E10" s="436"/>
      <c r="F10" s="435"/>
      <c r="G10" s="436"/>
      <c r="H10" s="436"/>
      <c r="I10" s="435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1"/>
      <c r="X10" s="241"/>
      <c r="Y10" s="241"/>
      <c r="Z10" s="239"/>
      <c r="AA10" s="242"/>
      <c r="AB10" s="242"/>
      <c r="AC10" s="28"/>
      <c r="AD10" s="28"/>
      <c r="AE10" s="28"/>
      <c r="AF10" s="28"/>
    </row>
    <row r="11" spans="1:32" s="85" customFormat="1" hidden="1">
      <c r="A11" s="434"/>
      <c r="B11" s="435"/>
      <c r="C11" s="435"/>
      <c r="D11" s="436"/>
      <c r="E11" s="436"/>
      <c r="F11" s="435"/>
      <c r="G11" s="436"/>
      <c r="H11" s="436"/>
      <c r="I11" s="435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1"/>
      <c r="X11" s="241"/>
      <c r="Y11" s="241"/>
      <c r="Z11" s="239"/>
      <c r="AA11" s="242"/>
      <c r="AB11" s="242"/>
      <c r="AC11" s="28"/>
      <c r="AD11" s="28"/>
      <c r="AE11" s="28"/>
      <c r="AF11" s="28"/>
    </row>
    <row r="12" spans="1:32" s="85" customFormat="1" ht="15.75" hidden="1">
      <c r="A12" s="437" t="s">
        <v>531</v>
      </c>
      <c r="B12" s="438"/>
      <c r="C12" s="438"/>
      <c r="D12" s="436"/>
      <c r="E12" s="436"/>
      <c r="F12" s="438"/>
      <c r="G12" s="436"/>
      <c r="H12" s="436"/>
      <c r="I12" s="438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1"/>
      <c r="X12" s="241"/>
      <c r="Y12" s="241"/>
      <c r="Z12" s="239"/>
      <c r="AA12" s="242"/>
      <c r="AB12" s="242"/>
      <c r="AC12" s="28"/>
      <c r="AD12" s="28"/>
      <c r="AE12" s="28"/>
      <c r="AF12" s="28"/>
    </row>
    <row r="13" spans="1:32" s="85" customFormat="1" ht="15.75" hidden="1">
      <c r="A13" s="437" t="s">
        <v>532</v>
      </c>
      <c r="B13" s="438"/>
      <c r="C13" s="438"/>
      <c r="D13" s="436"/>
      <c r="E13" s="436"/>
      <c r="F13" s="438"/>
      <c r="G13" s="436"/>
      <c r="H13" s="436"/>
      <c r="I13" s="438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1"/>
      <c r="X13" s="241"/>
      <c r="Y13" s="241"/>
      <c r="Z13" s="239"/>
      <c r="AA13" s="242"/>
      <c r="AB13" s="242"/>
      <c r="AC13" s="28"/>
      <c r="AD13" s="28"/>
      <c r="AE13" s="28"/>
      <c r="AF13" s="28"/>
    </row>
    <row r="14" spans="1:32" s="85" customFormat="1" ht="15.75" hidden="1">
      <c r="A14" s="437" t="s">
        <v>533</v>
      </c>
      <c r="B14" s="438"/>
      <c r="C14" s="438"/>
      <c r="D14" s="436"/>
      <c r="E14" s="436"/>
      <c r="F14" s="438"/>
      <c r="G14" s="436"/>
      <c r="H14" s="436"/>
      <c r="I14" s="438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1"/>
      <c r="X14" s="241"/>
      <c r="Y14" s="241"/>
      <c r="Z14" s="239"/>
      <c r="AA14" s="242"/>
      <c r="AB14" s="242"/>
      <c r="AC14" s="28"/>
      <c r="AD14" s="28"/>
      <c r="AE14" s="28"/>
      <c r="AF14" s="28"/>
    </row>
    <row r="15" spans="1:32" s="85" customFormat="1" ht="15.75" hidden="1">
      <c r="A15" s="256"/>
      <c r="B15" s="256"/>
      <c r="C15" s="256"/>
      <c r="D15" s="255"/>
      <c r="E15" s="255"/>
      <c r="F15" s="256"/>
      <c r="G15" s="255"/>
      <c r="H15" s="255"/>
      <c r="I15" s="256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1"/>
      <c r="X15" s="241"/>
      <c r="Y15" s="241"/>
      <c r="Z15" s="239"/>
      <c r="AA15" s="242"/>
      <c r="AB15" s="242"/>
      <c r="AC15" s="28"/>
      <c r="AD15" s="28"/>
      <c r="AE15" s="28"/>
      <c r="AF15" s="28"/>
    </row>
    <row r="16" spans="1:32" s="85" customFormat="1" ht="15.75">
      <c r="A16" s="256"/>
      <c r="B16" s="256"/>
      <c r="C16" s="256"/>
      <c r="D16" s="255"/>
      <c r="E16" s="255"/>
      <c r="F16" s="256"/>
      <c r="G16" s="255"/>
      <c r="H16" s="255"/>
      <c r="I16" s="256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1"/>
      <c r="X16" s="241"/>
      <c r="Y16" s="241"/>
      <c r="Z16" s="239"/>
      <c r="AA16" s="242"/>
      <c r="AB16" s="242"/>
      <c r="AC16" s="28"/>
      <c r="AD16" s="28"/>
      <c r="AE16" s="28"/>
      <c r="AF16" s="28"/>
    </row>
    <row r="17" spans="1:42" s="85" customFormat="1" ht="15.75">
      <c r="A17" s="256"/>
      <c r="B17" s="256"/>
      <c r="C17" s="256"/>
      <c r="D17" s="255"/>
      <c r="E17" s="255"/>
      <c r="F17" s="256"/>
      <c r="G17" s="255"/>
      <c r="H17" s="255"/>
      <c r="I17" s="256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1"/>
      <c r="X17" s="241"/>
      <c r="Y17" s="241"/>
      <c r="Z17" s="239"/>
      <c r="AA17" s="242"/>
      <c r="AB17" s="242"/>
      <c r="AC17" s="28"/>
      <c r="AD17" s="28"/>
      <c r="AE17" s="28"/>
      <c r="AF17" s="28"/>
    </row>
    <row r="18" spans="1:42" s="85" customFormat="1" ht="15.75">
      <c r="A18" s="256"/>
      <c r="B18" s="256"/>
      <c r="C18" s="256"/>
      <c r="D18" s="255"/>
      <c r="E18" s="255"/>
      <c r="F18" s="256"/>
      <c r="G18" s="255"/>
      <c r="H18" s="255"/>
      <c r="I18" s="256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1"/>
      <c r="X18" s="241"/>
      <c r="Y18" s="241"/>
      <c r="Z18" s="239"/>
      <c r="AA18" s="242"/>
      <c r="AB18" s="242"/>
      <c r="AC18" s="28"/>
      <c r="AD18" s="28"/>
      <c r="AE18" s="28"/>
      <c r="AF18" s="28"/>
    </row>
    <row r="19" spans="1:42" s="85" customFormat="1" ht="15.75">
      <c r="A19" s="256"/>
      <c r="B19" s="256"/>
      <c r="C19" s="256"/>
      <c r="D19" s="255"/>
      <c r="E19" s="255"/>
      <c r="F19" s="256"/>
      <c r="G19" s="255"/>
      <c r="H19" s="255"/>
      <c r="I19" s="256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1"/>
      <c r="X19" s="241"/>
      <c r="Y19" s="241"/>
      <c r="Z19" s="239"/>
      <c r="AA19" s="242"/>
      <c r="AB19" s="242"/>
      <c r="AC19" s="28"/>
      <c r="AD19" s="28"/>
      <c r="AE19" s="28"/>
      <c r="AF19" s="28"/>
    </row>
    <row r="20" spans="1:42" s="85" customFormat="1" ht="15.75">
      <c r="A20" s="256"/>
      <c r="B20" s="256"/>
      <c r="C20" s="256"/>
      <c r="D20" s="255"/>
      <c r="E20" s="255"/>
      <c r="F20" s="256"/>
      <c r="G20" s="255"/>
      <c r="H20" s="255"/>
      <c r="I20" s="256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1"/>
      <c r="X20" s="241"/>
      <c r="Y20" s="241"/>
      <c r="Z20" s="239"/>
      <c r="AA20" s="242"/>
      <c r="AB20" s="242"/>
      <c r="AC20" s="28"/>
      <c r="AD20" s="28"/>
      <c r="AE20" s="28"/>
      <c r="AF20" s="28"/>
    </row>
    <row r="21" spans="1:42" s="85" customFormat="1" ht="15.75">
      <c r="A21" s="256"/>
      <c r="B21" s="256"/>
      <c r="C21" s="256"/>
      <c r="D21" s="255"/>
      <c r="E21" s="255"/>
      <c r="F21" s="256"/>
      <c r="G21" s="255"/>
      <c r="H21" s="255"/>
      <c r="I21" s="256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1"/>
      <c r="X21" s="241"/>
      <c r="Y21" s="241"/>
      <c r="Z21" s="239"/>
      <c r="AA21" s="242"/>
      <c r="AB21" s="242"/>
      <c r="AC21" s="28"/>
      <c r="AD21" s="28"/>
      <c r="AE21" s="28"/>
      <c r="AF21" s="28"/>
    </row>
    <row r="22" spans="1:42" s="85" customFormat="1" ht="23.25" hidden="1" customHeight="1">
      <c r="A22" s="439" t="s">
        <v>534</v>
      </c>
      <c r="B22" s="440"/>
      <c r="C22" s="441"/>
      <c r="D22" s="442"/>
      <c r="E22" s="442"/>
      <c r="F22" s="443"/>
      <c r="G22" s="442"/>
      <c r="H22" s="442"/>
      <c r="I22" s="441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1"/>
      <c r="X22" s="241"/>
      <c r="Y22" s="241"/>
      <c r="Z22" s="239"/>
      <c r="AA22" s="242" t="e">
        <f>AA233</f>
        <v>#REF!</v>
      </c>
      <c r="AB22" s="242"/>
      <c r="AC22" s="28"/>
      <c r="AD22" s="28"/>
      <c r="AE22" s="28"/>
      <c r="AF22" s="28"/>
    </row>
    <row r="23" spans="1:42" s="85" customFormat="1" ht="19.5" customHeight="1">
      <c r="A23" s="243"/>
      <c r="B23" s="243"/>
      <c r="C23" s="244"/>
      <c r="D23" s="24"/>
      <c r="E23" s="24"/>
      <c r="F23" s="245" t="s">
        <v>529</v>
      </c>
      <c r="G23" s="24"/>
      <c r="H23" s="25"/>
      <c r="I23" s="246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29"/>
      <c r="X23" s="29"/>
      <c r="Y23" s="29"/>
      <c r="Z23" s="25"/>
      <c r="AA23" s="25"/>
      <c r="AB23" s="30"/>
      <c r="AC23" s="28"/>
      <c r="AD23" s="28"/>
      <c r="AE23" s="28"/>
      <c r="AF23" s="28"/>
    </row>
    <row r="24" spans="1:42" s="85" customFormat="1" ht="15" hidden="1" customHeight="1">
      <c r="A24" s="453" t="s">
        <v>0</v>
      </c>
      <c r="B24" s="453" t="s">
        <v>1</v>
      </c>
      <c r="C24" s="450" t="s">
        <v>387</v>
      </c>
      <c r="D24" s="451"/>
      <c r="E24" s="451"/>
      <c r="F24" s="452"/>
      <c r="G24" s="451"/>
      <c r="H24" s="451"/>
      <c r="I24" s="3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455" t="s">
        <v>391</v>
      </c>
      <c r="X24" s="456"/>
      <c r="Y24" s="457"/>
      <c r="Z24" s="454" t="s">
        <v>390</v>
      </c>
      <c r="AA24" s="454"/>
      <c r="AB24" s="454"/>
    </row>
    <row r="25" spans="1:42" ht="36.75" customHeight="1">
      <c r="A25" s="454"/>
      <c r="B25" s="454"/>
      <c r="C25" s="174" t="s">
        <v>2</v>
      </c>
      <c r="D25" s="173" t="s">
        <v>3</v>
      </c>
      <c r="E25" s="193" t="s">
        <v>384</v>
      </c>
      <c r="F25" s="166" t="s">
        <v>530</v>
      </c>
      <c r="G25" s="193" t="s">
        <v>467</v>
      </c>
      <c r="H25" s="193" t="s">
        <v>4</v>
      </c>
      <c r="I25" s="52" t="s">
        <v>439</v>
      </c>
      <c r="J25" s="106" t="s">
        <v>400</v>
      </c>
      <c r="K25" s="110" t="s">
        <v>401</v>
      </c>
      <c r="L25" s="113" t="s">
        <v>402</v>
      </c>
      <c r="M25" s="137" t="s">
        <v>403</v>
      </c>
      <c r="N25" s="158" t="s">
        <v>416</v>
      </c>
      <c r="O25" s="160" t="s">
        <v>430</v>
      </c>
      <c r="P25" s="162" t="s">
        <v>433</v>
      </c>
      <c r="Q25" s="165" t="s">
        <v>434</v>
      </c>
      <c r="R25" s="247" t="s">
        <v>435</v>
      </c>
      <c r="S25" s="108" t="s">
        <v>537</v>
      </c>
      <c r="T25" s="249" t="s">
        <v>494</v>
      </c>
      <c r="U25" s="249" t="s">
        <v>535</v>
      </c>
      <c r="V25" s="249" t="s">
        <v>536</v>
      </c>
      <c r="W25" s="31" t="s">
        <v>392</v>
      </c>
      <c r="X25" s="31" t="s">
        <v>385</v>
      </c>
      <c r="Y25" s="31" t="s">
        <v>386</v>
      </c>
      <c r="Z25" s="52" t="s">
        <v>388</v>
      </c>
      <c r="AA25" s="32" t="s">
        <v>385</v>
      </c>
      <c r="AB25" s="54" t="s">
        <v>389</v>
      </c>
    </row>
    <row r="26" spans="1:42" s="93" customFormat="1" ht="18.75" customHeight="1">
      <c r="A26" s="200"/>
      <c r="B26" s="201"/>
      <c r="C26" s="202"/>
      <c r="D26" s="203"/>
      <c r="E26" s="204"/>
      <c r="F26" s="204"/>
      <c r="G26" s="204"/>
      <c r="H26" s="205"/>
      <c r="I26" s="50"/>
      <c r="J26" s="62"/>
      <c r="K26" s="62"/>
      <c r="L26" s="115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38"/>
      <c r="X26" s="38"/>
      <c r="Y26" s="38"/>
      <c r="Z26" s="37">
        <f t="shared" ref="Z26:AB27" si="0">SUM(Z27:Z32)</f>
        <v>0</v>
      </c>
      <c r="AA26" s="37">
        <f t="shared" si="0"/>
        <v>0</v>
      </c>
      <c r="AB26" s="37">
        <f t="shared" si="0"/>
        <v>0</v>
      </c>
      <c r="AC26" s="1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</row>
    <row r="27" spans="1:42" s="93" customFormat="1">
      <c r="A27" s="194">
        <v>1</v>
      </c>
      <c r="B27" s="195" t="s">
        <v>5</v>
      </c>
      <c r="C27" s="196"/>
      <c r="D27" s="197"/>
      <c r="E27" s="198"/>
      <c r="F27" s="198"/>
      <c r="G27" s="198"/>
      <c r="H27" s="199">
        <f>SUM(H28:H33)</f>
        <v>0</v>
      </c>
      <c r="I27" s="50"/>
      <c r="J27" s="62"/>
      <c r="K27" s="62"/>
      <c r="L27" s="115"/>
      <c r="M27" s="62"/>
      <c r="N27" s="62"/>
      <c r="O27" s="62"/>
      <c r="P27" s="62"/>
      <c r="Q27" s="62"/>
      <c r="R27" s="62"/>
      <c r="S27" s="62"/>
      <c r="T27" s="62"/>
      <c r="U27" s="62"/>
      <c r="V27" s="199">
        <f>SUM(V28:V33)</f>
        <v>0</v>
      </c>
      <c r="W27" s="38"/>
      <c r="X27" s="38"/>
      <c r="Y27" s="38"/>
      <c r="Z27" s="37">
        <f t="shared" si="0"/>
        <v>0</v>
      </c>
      <c r="AA27" s="37">
        <f t="shared" si="0"/>
        <v>0</v>
      </c>
      <c r="AB27" s="37">
        <f t="shared" si="0"/>
        <v>0</v>
      </c>
      <c r="AC27" s="1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</row>
    <row r="28" spans="1:42" s="91" customFormat="1" ht="25.5">
      <c r="A28" s="39" t="s">
        <v>6</v>
      </c>
      <c r="B28" s="40" t="s">
        <v>7</v>
      </c>
      <c r="C28" s="63" t="s">
        <v>8</v>
      </c>
      <c r="D28" s="64">
        <v>0</v>
      </c>
      <c r="E28" s="65">
        <v>206.18</v>
      </c>
      <c r="F28" s="65"/>
      <c r="G28" s="65">
        <v>167.63</v>
      </c>
      <c r="H28" s="66">
        <f t="shared" ref="H28:H33" si="1">ROUND(D28*E28,2)</f>
        <v>0</v>
      </c>
      <c r="I28" s="182" t="s">
        <v>438</v>
      </c>
      <c r="J28" s="67">
        <v>0</v>
      </c>
      <c r="K28" s="67"/>
      <c r="L28" s="67"/>
      <c r="M28" s="67"/>
      <c r="N28" s="67"/>
      <c r="O28" s="67"/>
      <c r="P28" s="67"/>
      <c r="Q28" s="67"/>
      <c r="R28" s="67"/>
      <c r="S28" s="67"/>
      <c r="T28" s="67">
        <f t="shared" ref="T28:T34" si="2">SUM(J28:S28)</f>
        <v>0</v>
      </c>
      <c r="U28" s="67">
        <f t="shared" ref="U28:U33" si="3">D28-T28</f>
        <v>0</v>
      </c>
      <c r="V28" s="67">
        <f t="shared" ref="V28:V34" si="4">U28*E28</f>
        <v>0</v>
      </c>
      <c r="W28" s="44">
        <v>0</v>
      </c>
      <c r="X28" s="44">
        <f>IF(D28=0,0,S28/D28)</f>
        <v>0</v>
      </c>
      <c r="Y28" s="45">
        <f>W28+X28</f>
        <v>0</v>
      </c>
      <c r="Z28" s="103">
        <f t="shared" ref="Z28:Z34" si="5">(J28+K28+L28+M28)*E28</f>
        <v>0</v>
      </c>
      <c r="AA28" s="103">
        <f t="shared" ref="AA28:AA34" si="6">Q28*E28</f>
        <v>0</v>
      </c>
      <c r="AB28" s="103">
        <f t="shared" ref="AB28:AB34" si="7">(J28+K28+L28+M28+N28)*E28</f>
        <v>0</v>
      </c>
      <c r="AC28" s="5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</row>
    <row r="29" spans="1:42" s="91" customFormat="1">
      <c r="A29" s="39" t="s">
        <v>9</v>
      </c>
      <c r="B29" s="40" t="s">
        <v>10</v>
      </c>
      <c r="C29" s="63" t="s">
        <v>8</v>
      </c>
      <c r="D29" s="64">
        <v>0</v>
      </c>
      <c r="E29" s="65">
        <v>332.48</v>
      </c>
      <c r="F29" s="65"/>
      <c r="G29" s="65">
        <v>270.31</v>
      </c>
      <c r="H29" s="66">
        <f t="shared" si="1"/>
        <v>0</v>
      </c>
      <c r="I29" s="182" t="s">
        <v>440</v>
      </c>
      <c r="J29" s="67">
        <v>0</v>
      </c>
      <c r="K29" s="67"/>
      <c r="L29" s="67"/>
      <c r="M29" s="67"/>
      <c r="N29" s="67"/>
      <c r="O29" s="67"/>
      <c r="P29" s="67"/>
      <c r="Q29" s="67"/>
      <c r="R29" s="67"/>
      <c r="S29" s="67"/>
      <c r="T29" s="67">
        <f t="shared" si="2"/>
        <v>0</v>
      </c>
      <c r="U29" s="67">
        <f t="shared" si="3"/>
        <v>0</v>
      </c>
      <c r="V29" s="67">
        <f t="shared" si="4"/>
        <v>0</v>
      </c>
      <c r="W29" s="44">
        <v>0</v>
      </c>
      <c r="X29" s="44">
        <f t="shared" ref="X29:X34" si="8">IF(D29=0,0,S29/D29)</f>
        <v>0</v>
      </c>
      <c r="Y29" s="45">
        <f>W29+X29</f>
        <v>0</v>
      </c>
      <c r="Z29" s="103">
        <f t="shared" si="5"/>
        <v>0</v>
      </c>
      <c r="AA29" s="103">
        <f t="shared" si="6"/>
        <v>0</v>
      </c>
      <c r="AB29" s="103">
        <f t="shared" si="7"/>
        <v>0</v>
      </c>
      <c r="AC29" s="5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</row>
    <row r="30" spans="1:42" s="91" customFormat="1">
      <c r="A30" s="39" t="s">
        <v>11</v>
      </c>
      <c r="B30" s="40" t="s">
        <v>12</v>
      </c>
      <c r="C30" s="63" t="s">
        <v>8</v>
      </c>
      <c r="D30" s="64">
        <v>0</v>
      </c>
      <c r="E30" s="65">
        <v>5.04</v>
      </c>
      <c r="F30" s="65"/>
      <c r="G30" s="65">
        <v>4.0999999999999996</v>
      </c>
      <c r="H30" s="66">
        <f t="shared" si="1"/>
        <v>0</v>
      </c>
      <c r="I30" s="182" t="s">
        <v>441</v>
      </c>
      <c r="J30" s="67">
        <v>0</v>
      </c>
      <c r="K30" s="67"/>
      <c r="L30" s="67"/>
      <c r="M30" s="67"/>
      <c r="N30" s="67"/>
      <c r="O30" s="67"/>
      <c r="P30" s="67"/>
      <c r="Q30" s="67"/>
      <c r="R30" s="67"/>
      <c r="S30" s="67"/>
      <c r="T30" s="67">
        <f t="shared" si="2"/>
        <v>0</v>
      </c>
      <c r="U30" s="67">
        <f t="shared" si="3"/>
        <v>0</v>
      </c>
      <c r="V30" s="67">
        <f t="shared" si="4"/>
        <v>0</v>
      </c>
      <c r="W30" s="44">
        <v>0</v>
      </c>
      <c r="X30" s="44">
        <f t="shared" si="8"/>
        <v>0</v>
      </c>
      <c r="Y30" s="45">
        <f t="shared" ref="Y30:Y34" si="9">W30+X30</f>
        <v>0</v>
      </c>
      <c r="Z30" s="103">
        <f t="shared" si="5"/>
        <v>0</v>
      </c>
      <c r="AA30" s="103">
        <f t="shared" si="6"/>
        <v>0</v>
      </c>
      <c r="AB30" s="103">
        <f t="shared" si="7"/>
        <v>0</v>
      </c>
      <c r="AC30" s="5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</row>
    <row r="31" spans="1:42" s="91" customFormat="1">
      <c r="A31" s="39" t="s">
        <v>13</v>
      </c>
      <c r="B31" s="40" t="s">
        <v>14</v>
      </c>
      <c r="C31" s="63" t="s">
        <v>15</v>
      </c>
      <c r="D31" s="64">
        <v>0</v>
      </c>
      <c r="E31" s="65">
        <v>252.86</v>
      </c>
      <c r="F31" s="65"/>
      <c r="G31" s="65">
        <v>205.58</v>
      </c>
      <c r="H31" s="66">
        <f t="shared" si="1"/>
        <v>0</v>
      </c>
      <c r="I31" s="182" t="s">
        <v>442</v>
      </c>
      <c r="J31" s="67">
        <v>0</v>
      </c>
      <c r="K31" s="67"/>
      <c r="L31" s="67"/>
      <c r="M31" s="67"/>
      <c r="N31" s="67"/>
      <c r="O31" s="67"/>
      <c r="P31" s="67"/>
      <c r="Q31" s="67"/>
      <c r="R31" s="67"/>
      <c r="S31" s="67"/>
      <c r="T31" s="67">
        <f t="shared" si="2"/>
        <v>0</v>
      </c>
      <c r="U31" s="67">
        <f t="shared" si="3"/>
        <v>0</v>
      </c>
      <c r="V31" s="67">
        <f t="shared" si="4"/>
        <v>0</v>
      </c>
      <c r="W31" s="44">
        <v>0</v>
      </c>
      <c r="X31" s="44">
        <f t="shared" si="8"/>
        <v>0</v>
      </c>
      <c r="Y31" s="45">
        <f t="shared" si="9"/>
        <v>0</v>
      </c>
      <c r="Z31" s="103">
        <f t="shared" si="5"/>
        <v>0</v>
      </c>
      <c r="AA31" s="103">
        <f t="shared" si="6"/>
        <v>0</v>
      </c>
      <c r="AB31" s="103">
        <f t="shared" si="7"/>
        <v>0</v>
      </c>
      <c r="AC31" s="5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</row>
    <row r="32" spans="1:42" s="91" customFormat="1">
      <c r="A32" s="39" t="s">
        <v>16</v>
      </c>
      <c r="B32" s="40" t="s">
        <v>17</v>
      </c>
      <c r="C32" s="63" t="s">
        <v>15</v>
      </c>
      <c r="D32" s="64">
        <v>0</v>
      </c>
      <c r="E32" s="65">
        <v>1458.04</v>
      </c>
      <c r="F32" s="65"/>
      <c r="G32" s="65">
        <v>1185.4000000000001</v>
      </c>
      <c r="H32" s="66">
        <f t="shared" si="1"/>
        <v>0</v>
      </c>
      <c r="I32" s="182" t="s">
        <v>443</v>
      </c>
      <c r="J32" s="67">
        <v>0</v>
      </c>
      <c r="K32" s="67"/>
      <c r="L32" s="67"/>
      <c r="M32" s="67"/>
      <c r="N32" s="67"/>
      <c r="O32" s="67"/>
      <c r="P32" s="67"/>
      <c r="Q32" s="67"/>
      <c r="R32" s="67"/>
      <c r="S32" s="67"/>
      <c r="T32" s="67">
        <f t="shared" si="2"/>
        <v>0</v>
      </c>
      <c r="U32" s="67">
        <f t="shared" si="3"/>
        <v>0</v>
      </c>
      <c r="V32" s="67">
        <f t="shared" si="4"/>
        <v>0</v>
      </c>
      <c r="W32" s="44">
        <v>0</v>
      </c>
      <c r="X32" s="44">
        <f t="shared" si="8"/>
        <v>0</v>
      </c>
      <c r="Y32" s="45">
        <f t="shared" si="9"/>
        <v>0</v>
      </c>
      <c r="Z32" s="103">
        <f t="shared" si="5"/>
        <v>0</v>
      </c>
      <c r="AA32" s="103">
        <f t="shared" si="6"/>
        <v>0</v>
      </c>
      <c r="AB32" s="103">
        <f t="shared" si="7"/>
        <v>0</v>
      </c>
      <c r="AC32" s="5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</row>
    <row r="33" spans="1:42" s="91" customFormat="1">
      <c r="A33" s="39" t="s">
        <v>18</v>
      </c>
      <c r="B33" s="40" t="s">
        <v>19</v>
      </c>
      <c r="C33" s="63" t="s">
        <v>15</v>
      </c>
      <c r="D33" s="64">
        <v>0</v>
      </c>
      <c r="E33" s="65">
        <v>1106.6600000000001</v>
      </c>
      <c r="F33" s="65"/>
      <c r="G33" s="65">
        <v>899.72</v>
      </c>
      <c r="H33" s="66">
        <f t="shared" si="1"/>
        <v>0</v>
      </c>
      <c r="I33" s="182" t="s">
        <v>444</v>
      </c>
      <c r="J33" s="67">
        <v>0</v>
      </c>
      <c r="K33" s="67"/>
      <c r="L33" s="67"/>
      <c r="M33" s="67"/>
      <c r="N33" s="67"/>
      <c r="O33" s="67"/>
      <c r="P33" s="67"/>
      <c r="Q33" s="67"/>
      <c r="R33" s="67"/>
      <c r="S33" s="67"/>
      <c r="T33" s="67">
        <f t="shared" si="2"/>
        <v>0</v>
      </c>
      <c r="U33" s="67">
        <f t="shared" si="3"/>
        <v>0</v>
      </c>
      <c r="V33" s="67">
        <f t="shared" si="4"/>
        <v>0</v>
      </c>
      <c r="W33" s="44">
        <v>0</v>
      </c>
      <c r="X33" s="44">
        <f t="shared" si="8"/>
        <v>0</v>
      </c>
      <c r="Y33" s="45">
        <f t="shared" si="9"/>
        <v>0</v>
      </c>
      <c r="Z33" s="103">
        <f t="shared" si="5"/>
        <v>0</v>
      </c>
      <c r="AA33" s="103">
        <f t="shared" si="6"/>
        <v>0</v>
      </c>
      <c r="AB33" s="103">
        <f t="shared" si="7"/>
        <v>0</v>
      </c>
      <c r="AC33" s="5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</row>
    <row r="34" spans="1:42" s="91" customFormat="1">
      <c r="A34" s="206"/>
      <c r="B34" s="206"/>
      <c r="C34" s="206"/>
      <c r="D34" s="60"/>
      <c r="E34" s="65"/>
      <c r="F34" s="207"/>
      <c r="G34" s="65">
        <v>0</v>
      </c>
      <c r="H34" s="61"/>
      <c r="I34" s="208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67">
        <f t="shared" si="2"/>
        <v>0</v>
      </c>
      <c r="U34" s="81"/>
      <c r="V34" s="67">
        <f t="shared" si="4"/>
        <v>0</v>
      </c>
      <c r="W34" s="44">
        <v>0</v>
      </c>
      <c r="X34" s="44">
        <f t="shared" si="8"/>
        <v>0</v>
      </c>
      <c r="Y34" s="45">
        <f t="shared" si="9"/>
        <v>0</v>
      </c>
      <c r="Z34" s="103">
        <f t="shared" si="5"/>
        <v>0</v>
      </c>
      <c r="AA34" s="103">
        <f t="shared" si="6"/>
        <v>0</v>
      </c>
      <c r="AB34" s="103">
        <f t="shared" si="7"/>
        <v>0</v>
      </c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</row>
    <row r="35" spans="1:42" s="93" customFormat="1">
      <c r="A35" s="175">
        <v>2</v>
      </c>
      <c r="B35" s="33" t="s">
        <v>20</v>
      </c>
      <c r="C35" s="34"/>
      <c r="D35" s="35"/>
      <c r="E35" s="36">
        <v>0</v>
      </c>
      <c r="F35" s="36"/>
      <c r="G35" s="36">
        <v>0</v>
      </c>
      <c r="H35" s="37">
        <f>SUM(H36:H40)</f>
        <v>15335.31</v>
      </c>
      <c r="I35" s="50"/>
      <c r="J35" s="62"/>
      <c r="K35" s="62"/>
      <c r="L35" s="115"/>
      <c r="M35" s="62"/>
      <c r="N35" s="62"/>
      <c r="O35" s="62"/>
      <c r="P35" s="62"/>
      <c r="Q35" s="62"/>
      <c r="R35" s="115"/>
      <c r="S35" s="62"/>
      <c r="T35" s="62"/>
      <c r="U35" s="62"/>
      <c r="V35" s="37">
        <f>SUM(V36:V40)</f>
        <v>58.349500000001207</v>
      </c>
      <c r="W35" s="38"/>
      <c r="X35" s="38"/>
      <c r="Y35" s="38"/>
      <c r="Z35" s="37">
        <f>SUM(Z36:Z40)</f>
        <v>15276.960000000001</v>
      </c>
      <c r="AA35" s="37">
        <f>SUM(AA36:AA40)</f>
        <v>0</v>
      </c>
      <c r="AB35" s="37">
        <f>SUM(AB36:AB40)</f>
        <v>15276.960000000001</v>
      </c>
      <c r="AC35" s="1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</row>
    <row r="36" spans="1:42" s="91" customFormat="1">
      <c r="A36" s="145" t="s">
        <v>21</v>
      </c>
      <c r="B36" s="215" t="s">
        <v>22</v>
      </c>
      <c r="C36" s="216" t="s">
        <v>23</v>
      </c>
      <c r="D36" s="64">
        <v>0</v>
      </c>
      <c r="E36" s="65">
        <v>45.01</v>
      </c>
      <c r="F36" s="217"/>
      <c r="G36" s="65">
        <v>36.590000000000003</v>
      </c>
      <c r="H36" s="66">
        <f>ROUND(D36*E36,2)</f>
        <v>0</v>
      </c>
      <c r="I36" s="218" t="s">
        <v>445</v>
      </c>
      <c r="J36" s="67">
        <v>0</v>
      </c>
      <c r="K36" s="67"/>
      <c r="L36" s="67"/>
      <c r="M36" s="67"/>
      <c r="N36" s="67"/>
      <c r="O36" s="67"/>
      <c r="P36" s="67"/>
      <c r="Q36" s="67"/>
      <c r="R36" s="67"/>
      <c r="S36" s="67"/>
      <c r="T36" s="67">
        <f t="shared" ref="T36" si="10">SUM(J36:S36)</f>
        <v>0</v>
      </c>
      <c r="U36" s="67">
        <f>D36-T36</f>
        <v>0</v>
      </c>
      <c r="V36" s="67">
        <f t="shared" ref="V36:V41" si="11">U36*E36</f>
        <v>0</v>
      </c>
      <c r="W36" s="44">
        <v>0</v>
      </c>
      <c r="X36" s="44">
        <f t="shared" ref="X36:X41" si="12">IF(D36=0,0,S36/D36)</f>
        <v>0</v>
      </c>
      <c r="Y36" s="45">
        <f t="shared" ref="Y36:Y41" si="13">W36+X36</f>
        <v>0</v>
      </c>
      <c r="Z36" s="103">
        <f>(J36+K36+L36+M36)*E36</f>
        <v>0</v>
      </c>
      <c r="AA36" s="103">
        <f>Q36*E36</f>
        <v>0</v>
      </c>
      <c r="AB36" s="103">
        <f>(J36+K36+L36+M36+N36)*E36</f>
        <v>0</v>
      </c>
      <c r="AC36" s="5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</row>
    <row r="37" spans="1:42" ht="25.5">
      <c r="A37" s="39" t="s">
        <v>24</v>
      </c>
      <c r="B37" s="40" t="s">
        <v>25</v>
      </c>
      <c r="C37" s="39" t="s">
        <v>23</v>
      </c>
      <c r="D37" s="41">
        <v>144.55000000000001</v>
      </c>
      <c r="E37" s="42">
        <v>106.09</v>
      </c>
      <c r="F37" s="41">
        <f>U37</f>
        <v>0.55000000000001137</v>
      </c>
      <c r="G37" s="42">
        <v>86.25</v>
      </c>
      <c r="H37" s="43">
        <f>ROUND(D37*E37,2)</f>
        <v>15335.31</v>
      </c>
      <c r="I37" s="181" t="s">
        <v>446</v>
      </c>
      <c r="J37" s="67">
        <v>144</v>
      </c>
      <c r="K37" s="67"/>
      <c r="L37" s="67"/>
      <c r="M37" s="67"/>
      <c r="N37" s="67"/>
      <c r="O37" s="67"/>
      <c r="P37" s="67"/>
      <c r="Q37" s="67"/>
      <c r="R37" s="67"/>
      <c r="S37" s="67"/>
      <c r="T37" s="67">
        <f>SUM(J37:S37)</f>
        <v>144</v>
      </c>
      <c r="U37" s="67">
        <f>D37-T37</f>
        <v>0.55000000000001137</v>
      </c>
      <c r="V37" s="67">
        <f t="shared" si="11"/>
        <v>58.349500000001207</v>
      </c>
      <c r="W37" s="44">
        <f>(SUM(J37:R37))/D37</f>
        <v>0.99619508820477332</v>
      </c>
      <c r="X37" s="44">
        <f t="shared" si="12"/>
        <v>0</v>
      </c>
      <c r="Y37" s="45">
        <f>W37+X37</f>
        <v>0.99619508820477332</v>
      </c>
      <c r="Z37" s="103">
        <f>(J37+K37+L37+M37+N37)*E37</f>
        <v>15276.960000000001</v>
      </c>
      <c r="AA37" s="103">
        <f>S37*G37</f>
        <v>0</v>
      </c>
      <c r="AB37" s="103">
        <f>(J37+K37+L37+M37+N37+O37)*E37</f>
        <v>15276.960000000001</v>
      </c>
      <c r="AC37" s="5"/>
    </row>
    <row r="38" spans="1:42" s="91" customFormat="1" ht="25.5">
      <c r="A38" s="219" t="s">
        <v>26</v>
      </c>
      <c r="B38" s="220" t="s">
        <v>27</v>
      </c>
      <c r="C38" s="221" t="s">
        <v>23</v>
      </c>
      <c r="D38" s="64">
        <v>0</v>
      </c>
      <c r="E38" s="65">
        <v>38.590000000000003</v>
      </c>
      <c r="F38" s="222"/>
      <c r="G38" s="65">
        <v>31.37</v>
      </c>
      <c r="H38" s="66">
        <f>ROUND(D38*E38,2)</f>
        <v>0</v>
      </c>
      <c r="I38" s="223" t="s">
        <v>447</v>
      </c>
      <c r="J38" s="67">
        <v>0</v>
      </c>
      <c r="K38" s="67"/>
      <c r="L38" s="67"/>
      <c r="M38" s="67"/>
      <c r="N38" s="67"/>
      <c r="O38" s="67"/>
      <c r="P38" s="67"/>
      <c r="Q38" s="67"/>
      <c r="R38" s="67"/>
      <c r="S38" s="67"/>
      <c r="T38" s="67">
        <f t="shared" ref="T38:T41" si="14">SUM(J38:S38)</f>
        <v>0</v>
      </c>
      <c r="U38" s="67">
        <f>D38-T38</f>
        <v>0</v>
      </c>
      <c r="V38" s="67">
        <f t="shared" si="11"/>
        <v>0</v>
      </c>
      <c r="W38" s="44">
        <v>0</v>
      </c>
      <c r="X38" s="44">
        <f t="shared" si="12"/>
        <v>0</v>
      </c>
      <c r="Y38" s="45">
        <f t="shared" si="13"/>
        <v>0</v>
      </c>
      <c r="Z38" s="103">
        <f>(J38+K38+L38+M38)*E38</f>
        <v>0</v>
      </c>
      <c r="AA38" s="103">
        <f>Q38*E38</f>
        <v>0</v>
      </c>
      <c r="AB38" s="103">
        <f>(J38+K38+L38+M38+N38)*E38</f>
        <v>0</v>
      </c>
      <c r="AC38" s="5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</row>
    <row r="39" spans="1:42" s="91" customFormat="1">
      <c r="A39" s="39" t="s">
        <v>28</v>
      </c>
      <c r="B39" s="40" t="s">
        <v>29</v>
      </c>
      <c r="C39" s="63" t="s">
        <v>23</v>
      </c>
      <c r="D39" s="64">
        <v>0</v>
      </c>
      <c r="E39" s="65">
        <v>18.55</v>
      </c>
      <c r="F39" s="65"/>
      <c r="G39" s="65">
        <v>15.08</v>
      </c>
      <c r="H39" s="66">
        <f>ROUND(D39*E39,2)</f>
        <v>0</v>
      </c>
      <c r="I39" s="182">
        <v>72897</v>
      </c>
      <c r="J39" s="67">
        <v>0</v>
      </c>
      <c r="K39" s="67"/>
      <c r="L39" s="67"/>
      <c r="M39" s="67"/>
      <c r="N39" s="67"/>
      <c r="O39" s="67"/>
      <c r="P39" s="67"/>
      <c r="Q39" s="67"/>
      <c r="R39" s="67"/>
      <c r="S39" s="67"/>
      <c r="T39" s="67">
        <f t="shared" si="14"/>
        <v>0</v>
      </c>
      <c r="U39" s="67">
        <f>D39-T39</f>
        <v>0</v>
      </c>
      <c r="V39" s="67">
        <f t="shared" si="11"/>
        <v>0</v>
      </c>
      <c r="W39" s="44">
        <v>0</v>
      </c>
      <c r="X39" s="44">
        <f t="shared" si="12"/>
        <v>0</v>
      </c>
      <c r="Y39" s="45">
        <f t="shared" si="13"/>
        <v>0</v>
      </c>
      <c r="Z39" s="103">
        <f>(J39+K39+L39+M39)*E39</f>
        <v>0</v>
      </c>
      <c r="AA39" s="103">
        <f>Q39*E39</f>
        <v>0</v>
      </c>
      <c r="AB39" s="103">
        <f>(J39+K39+L39+M39+N39)*E39</f>
        <v>0</v>
      </c>
      <c r="AC39" s="5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</row>
    <row r="40" spans="1:42" s="91" customFormat="1" ht="25.5">
      <c r="A40" s="39" t="s">
        <v>30</v>
      </c>
      <c r="B40" s="40" t="s">
        <v>31</v>
      </c>
      <c r="C40" s="63" t="s">
        <v>23</v>
      </c>
      <c r="D40" s="64">
        <v>0</v>
      </c>
      <c r="E40" s="65">
        <v>29.09</v>
      </c>
      <c r="F40" s="65"/>
      <c r="G40" s="65">
        <v>23.65</v>
      </c>
      <c r="H40" s="66">
        <f>ROUND(D40*E40,2)</f>
        <v>0</v>
      </c>
      <c r="I40" s="182" t="s">
        <v>448</v>
      </c>
      <c r="J40" s="67">
        <v>0</v>
      </c>
      <c r="K40" s="67"/>
      <c r="L40" s="67"/>
      <c r="M40" s="67"/>
      <c r="N40" s="67"/>
      <c r="O40" s="67"/>
      <c r="P40" s="67"/>
      <c r="Q40" s="67"/>
      <c r="R40" s="67"/>
      <c r="S40" s="67"/>
      <c r="T40" s="67">
        <f t="shared" si="14"/>
        <v>0</v>
      </c>
      <c r="U40" s="67">
        <f>D40-T40</f>
        <v>0</v>
      </c>
      <c r="V40" s="67">
        <f t="shared" si="11"/>
        <v>0</v>
      </c>
      <c r="W40" s="44">
        <v>0</v>
      </c>
      <c r="X40" s="44">
        <f t="shared" si="12"/>
        <v>0</v>
      </c>
      <c r="Y40" s="45">
        <f t="shared" si="13"/>
        <v>0</v>
      </c>
      <c r="Z40" s="103">
        <f>(J40+K40+L40+M40)*E40</f>
        <v>0</v>
      </c>
      <c r="AA40" s="103">
        <f>Q40*E40</f>
        <v>0</v>
      </c>
      <c r="AB40" s="103">
        <f>(J40+K40+L40+M40+N40)*E40</f>
        <v>0</v>
      </c>
      <c r="AC40" s="5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</row>
    <row r="41" spans="1:42" s="91" customFormat="1">
      <c r="A41" s="59"/>
      <c r="B41" s="59"/>
      <c r="C41" s="59"/>
      <c r="D41" s="60"/>
      <c r="E41" s="65"/>
      <c r="F41" s="65"/>
      <c r="G41" s="65">
        <v>0</v>
      </c>
      <c r="H41" s="61"/>
      <c r="I41" s="188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>
        <f t="shared" si="14"/>
        <v>0</v>
      </c>
      <c r="U41" s="67"/>
      <c r="V41" s="67">
        <f t="shared" si="11"/>
        <v>0</v>
      </c>
      <c r="W41" s="44">
        <v>0</v>
      </c>
      <c r="X41" s="44">
        <f t="shared" si="12"/>
        <v>0</v>
      </c>
      <c r="Y41" s="45">
        <f t="shared" si="13"/>
        <v>0</v>
      </c>
      <c r="Z41" s="103">
        <f>(J41+K41+L41+M41)*E41</f>
        <v>0</v>
      </c>
      <c r="AA41" s="103">
        <f>Q41*E41</f>
        <v>0</v>
      </c>
      <c r="AB41" s="103">
        <f>(J41+K41+L41+M41+N41)*E41</f>
        <v>0</v>
      </c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</row>
    <row r="42" spans="1:42" s="95" customFormat="1">
      <c r="A42" s="55">
        <v>3</v>
      </c>
      <c r="B42" s="33" t="s">
        <v>32</v>
      </c>
      <c r="C42" s="34"/>
      <c r="D42" s="68"/>
      <c r="E42" s="69">
        <v>0</v>
      </c>
      <c r="F42" s="69"/>
      <c r="G42" s="69">
        <v>0</v>
      </c>
      <c r="H42" s="70">
        <f>H43+H48</f>
        <v>0</v>
      </c>
      <c r="I42" s="189"/>
      <c r="J42" s="62"/>
      <c r="K42" s="62"/>
      <c r="L42" s="115"/>
      <c r="M42" s="62"/>
      <c r="N42" s="62"/>
      <c r="O42" s="62"/>
      <c r="P42" s="62"/>
      <c r="Q42" s="62"/>
      <c r="R42" s="62"/>
      <c r="S42" s="62"/>
      <c r="T42" s="62"/>
      <c r="U42" s="62"/>
      <c r="V42" s="70">
        <f>V43+V48</f>
        <v>0</v>
      </c>
      <c r="W42" s="70"/>
      <c r="X42" s="153"/>
      <c r="Y42" s="70"/>
      <c r="Z42" s="70">
        <f>Z43+Z48</f>
        <v>0</v>
      </c>
      <c r="AA42" s="70">
        <f>AA43+AA48</f>
        <v>0</v>
      </c>
      <c r="AB42" s="70">
        <f>AB43+AB48</f>
        <v>0</v>
      </c>
      <c r="AC42" s="118">
        <f>Z35+Z53+Z65+Z72+Z72+Z76+Z82+Z89+Z96+Z106+Z149+Z172+Z179+Z211+Z219</f>
        <v>334000.92942500004</v>
      </c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</row>
    <row r="43" spans="1:42" s="95" customFormat="1">
      <c r="A43" s="55" t="s">
        <v>33</v>
      </c>
      <c r="B43" s="33" t="s">
        <v>34</v>
      </c>
      <c r="C43" s="34"/>
      <c r="D43" s="68"/>
      <c r="E43" s="69">
        <v>0</v>
      </c>
      <c r="F43" s="69"/>
      <c r="G43" s="69">
        <v>0</v>
      </c>
      <c r="H43" s="70">
        <f>SUM(H44:H46)</f>
        <v>0</v>
      </c>
      <c r="I43" s="189"/>
      <c r="J43" s="62"/>
      <c r="K43" s="62"/>
      <c r="L43" s="115"/>
      <c r="M43" s="62"/>
      <c r="N43" s="62"/>
      <c r="O43" s="62"/>
      <c r="P43" s="62"/>
      <c r="Q43" s="62"/>
      <c r="R43" s="62"/>
      <c r="S43" s="62"/>
      <c r="T43" s="62"/>
      <c r="U43" s="62"/>
      <c r="V43" s="70">
        <f>SUM(V44:V46)</f>
        <v>0</v>
      </c>
      <c r="W43" s="70"/>
      <c r="X43" s="153"/>
      <c r="Y43" s="70"/>
      <c r="Z43" s="70">
        <f>SUM(Z44:Z46)</f>
        <v>0</v>
      </c>
      <c r="AA43" s="70">
        <f>SUM(AA44:AA46)</f>
        <v>0</v>
      </c>
      <c r="AB43" s="70">
        <f>SUM(AB44:AB46)</f>
        <v>0</v>
      </c>
      <c r="AC43" s="1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</row>
    <row r="44" spans="1:42" s="91" customFormat="1" ht="25.5">
      <c r="A44" s="39" t="s">
        <v>35</v>
      </c>
      <c r="B44" s="40" t="s">
        <v>36</v>
      </c>
      <c r="C44" s="63" t="s">
        <v>8</v>
      </c>
      <c r="D44" s="64">
        <v>0</v>
      </c>
      <c r="E44" s="65">
        <v>18.09</v>
      </c>
      <c r="F44" s="65"/>
      <c r="G44" s="65">
        <v>14.71</v>
      </c>
      <c r="H44" s="66">
        <f>ROUND(D44*E44,2)</f>
        <v>0</v>
      </c>
      <c r="I44" s="182" t="s">
        <v>449</v>
      </c>
      <c r="J44" s="67">
        <v>0</v>
      </c>
      <c r="K44" s="67"/>
      <c r="L44" s="67"/>
      <c r="M44" s="67"/>
      <c r="N44" s="67"/>
      <c r="O44" s="67"/>
      <c r="P44" s="67"/>
      <c r="Q44" s="67"/>
      <c r="R44" s="67"/>
      <c r="S44" s="67"/>
      <c r="T44" s="67">
        <f t="shared" ref="T44:T47" si="15">SUM(J44:S44)</f>
        <v>0</v>
      </c>
      <c r="U44" s="67">
        <f>D44-T44</f>
        <v>0</v>
      </c>
      <c r="V44" s="67">
        <f>U44*E44</f>
        <v>0</v>
      </c>
      <c r="W44" s="44">
        <v>0</v>
      </c>
      <c r="X44" s="44">
        <f t="shared" ref="X44:X47" si="16">IF(D44=0,0,S44/D44)</f>
        <v>0</v>
      </c>
      <c r="Y44" s="45">
        <f t="shared" ref="Y44:Y46" si="17">W44+X44</f>
        <v>0</v>
      </c>
      <c r="Z44" s="103">
        <f>(J44+K44+L44+M44)*E44</f>
        <v>0</v>
      </c>
      <c r="AA44" s="103">
        <f>Q44*E44</f>
        <v>0</v>
      </c>
      <c r="AB44" s="103">
        <f>(J44+K44+L44+M44+N44)*E44</f>
        <v>0</v>
      </c>
      <c r="AC44" s="5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</row>
    <row r="45" spans="1:42" s="91" customFormat="1" ht="25.5">
      <c r="A45" s="39" t="s">
        <v>37</v>
      </c>
      <c r="B45" s="40" t="s">
        <v>38</v>
      </c>
      <c r="C45" s="63" t="s">
        <v>8</v>
      </c>
      <c r="D45" s="64">
        <v>0</v>
      </c>
      <c r="E45" s="65">
        <v>49.34</v>
      </c>
      <c r="F45" s="65"/>
      <c r="G45" s="65">
        <v>40.11</v>
      </c>
      <c r="H45" s="66">
        <f>ROUND(D45*E45,2)</f>
        <v>0</v>
      </c>
      <c r="I45" s="182" t="s">
        <v>450</v>
      </c>
      <c r="J45" s="67">
        <v>0</v>
      </c>
      <c r="K45" s="67"/>
      <c r="L45" s="67"/>
      <c r="M45" s="67"/>
      <c r="N45" s="67"/>
      <c r="O45" s="67"/>
      <c r="P45" s="67"/>
      <c r="Q45" s="67"/>
      <c r="R45" s="67"/>
      <c r="S45" s="67"/>
      <c r="T45" s="67">
        <f t="shared" si="15"/>
        <v>0</v>
      </c>
      <c r="U45" s="67">
        <f>D45-T45</f>
        <v>0</v>
      </c>
      <c r="V45" s="67">
        <f>U45*E45</f>
        <v>0</v>
      </c>
      <c r="W45" s="44">
        <v>0</v>
      </c>
      <c r="X45" s="44">
        <f t="shared" si="16"/>
        <v>0</v>
      </c>
      <c r="Y45" s="45">
        <f t="shared" si="17"/>
        <v>0</v>
      </c>
      <c r="Z45" s="103">
        <f>(J45+K45+L45+M45)*E45</f>
        <v>0</v>
      </c>
      <c r="AA45" s="103">
        <f>Q45*E45</f>
        <v>0</v>
      </c>
      <c r="AB45" s="103">
        <f>(J45+K45+L45+M45+N45)*E45</f>
        <v>0</v>
      </c>
      <c r="AC45" s="5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</row>
    <row r="46" spans="1:42" s="91" customFormat="1" ht="25.5">
      <c r="A46" s="39" t="s">
        <v>39</v>
      </c>
      <c r="B46" s="40" t="s">
        <v>40</v>
      </c>
      <c r="C46" s="63" t="s">
        <v>23</v>
      </c>
      <c r="D46" s="64">
        <v>0</v>
      </c>
      <c r="E46" s="65">
        <v>1623.61</v>
      </c>
      <c r="F46" s="65"/>
      <c r="G46" s="65">
        <v>1320.01</v>
      </c>
      <c r="H46" s="66">
        <f>ROUND(D46*E46,2)</f>
        <v>0</v>
      </c>
      <c r="I46" s="182" t="s">
        <v>451</v>
      </c>
      <c r="J46" s="67">
        <v>0</v>
      </c>
      <c r="K46" s="67"/>
      <c r="L46" s="67"/>
      <c r="M46" s="67"/>
      <c r="N46" s="67"/>
      <c r="O46" s="67"/>
      <c r="P46" s="67"/>
      <c r="Q46" s="67"/>
      <c r="R46" s="67"/>
      <c r="S46" s="67"/>
      <c r="T46" s="67">
        <f t="shared" si="15"/>
        <v>0</v>
      </c>
      <c r="U46" s="67">
        <f>D46-T46</f>
        <v>0</v>
      </c>
      <c r="V46" s="67">
        <f>U46*E46</f>
        <v>0</v>
      </c>
      <c r="W46" s="44">
        <v>0</v>
      </c>
      <c r="X46" s="44">
        <f t="shared" si="16"/>
        <v>0</v>
      </c>
      <c r="Y46" s="45">
        <f t="shared" si="17"/>
        <v>0</v>
      </c>
      <c r="Z46" s="103">
        <f>(J46+K46+L46+M46)*E46</f>
        <v>0</v>
      </c>
      <c r="AA46" s="103">
        <f>Q46*E46</f>
        <v>0</v>
      </c>
      <c r="AB46" s="103">
        <f>(J46+K46+L46+M46+N46)*E46</f>
        <v>0</v>
      </c>
      <c r="AC46" s="5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</row>
    <row r="47" spans="1:42" s="91" customFormat="1">
      <c r="A47" s="59"/>
      <c r="B47" s="59"/>
      <c r="C47" s="59"/>
      <c r="D47" s="60"/>
      <c r="E47" s="65"/>
      <c r="F47" s="65"/>
      <c r="G47" s="65">
        <v>0</v>
      </c>
      <c r="H47" s="61"/>
      <c r="I47" s="188"/>
      <c r="J47" s="67">
        <v>0</v>
      </c>
      <c r="K47" s="67"/>
      <c r="L47" s="67"/>
      <c r="M47" s="67"/>
      <c r="N47" s="67"/>
      <c r="O47" s="67"/>
      <c r="P47" s="67"/>
      <c r="Q47" s="67"/>
      <c r="R47" s="67"/>
      <c r="S47" s="67"/>
      <c r="T47" s="67">
        <f t="shared" si="15"/>
        <v>0</v>
      </c>
      <c r="U47" s="67"/>
      <c r="V47" s="67">
        <f>U47*E47</f>
        <v>0</v>
      </c>
      <c r="W47" s="44">
        <v>0</v>
      </c>
      <c r="X47" s="44">
        <f t="shared" si="16"/>
        <v>0</v>
      </c>
      <c r="Y47" s="45">
        <f>W47+X47</f>
        <v>0</v>
      </c>
      <c r="Z47" s="103">
        <f>(J47+K47+L47+M47)*E47</f>
        <v>0</v>
      </c>
      <c r="AA47" s="103">
        <f>Q47*E47</f>
        <v>0</v>
      </c>
      <c r="AB47" s="103">
        <f>(J47+K47+L47+M47+N47)*E47</f>
        <v>0</v>
      </c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</row>
    <row r="48" spans="1:42" s="95" customFormat="1">
      <c r="A48" s="71" t="s">
        <v>41</v>
      </c>
      <c r="B48" s="72" t="s">
        <v>42</v>
      </c>
      <c r="C48" s="73"/>
      <c r="D48" s="74"/>
      <c r="E48" s="69">
        <v>0</v>
      </c>
      <c r="F48" s="69"/>
      <c r="G48" s="69">
        <v>0</v>
      </c>
      <c r="H48" s="75">
        <f>SUM(H49:H51)</f>
        <v>0</v>
      </c>
      <c r="I48" s="190"/>
      <c r="J48" s="77"/>
      <c r="K48" s="77"/>
      <c r="L48" s="116"/>
      <c r="M48" s="77"/>
      <c r="N48" s="77"/>
      <c r="O48" s="77"/>
      <c r="P48" s="77"/>
      <c r="Q48" s="77"/>
      <c r="R48" s="77"/>
      <c r="S48" s="77"/>
      <c r="T48" s="77"/>
      <c r="U48" s="77"/>
      <c r="V48" s="75">
        <f>SUM(V49:V51)</f>
        <v>0</v>
      </c>
      <c r="W48" s="75"/>
      <c r="X48" s="154"/>
      <c r="Y48" s="75"/>
      <c r="Z48" s="75">
        <f>SUM(Z49:Z51)</f>
        <v>0</v>
      </c>
      <c r="AA48" s="75">
        <f>SUM(AA49:AA51)</f>
        <v>0</v>
      </c>
      <c r="AB48" s="75">
        <f>SUM(AB49:AB51)</f>
        <v>0</v>
      </c>
      <c r="AC48" s="76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</row>
    <row r="49" spans="1:42" s="91" customFormat="1" ht="25.5">
      <c r="A49" s="39" t="s">
        <v>43</v>
      </c>
      <c r="B49" s="40" t="s">
        <v>38</v>
      </c>
      <c r="C49" s="63" t="s">
        <v>8</v>
      </c>
      <c r="D49" s="64">
        <v>0</v>
      </c>
      <c r="E49" s="65">
        <v>49.34</v>
      </c>
      <c r="F49" s="65"/>
      <c r="G49" s="65">
        <v>40.11</v>
      </c>
      <c r="H49" s="66">
        <f>ROUND(D49*E49,2)</f>
        <v>0</v>
      </c>
      <c r="I49" s="182" t="s">
        <v>450</v>
      </c>
      <c r="J49" s="67">
        <v>0</v>
      </c>
      <c r="K49" s="67">
        <v>0</v>
      </c>
      <c r="L49" s="67"/>
      <c r="M49" s="67"/>
      <c r="N49" s="67"/>
      <c r="O49" s="67"/>
      <c r="P49" s="67"/>
      <c r="Q49" s="67"/>
      <c r="R49" s="67"/>
      <c r="S49" s="67"/>
      <c r="T49" s="67">
        <f t="shared" ref="T49:T52" si="18">SUM(J49:S49)</f>
        <v>0</v>
      </c>
      <c r="U49" s="67">
        <f>D49-T49</f>
        <v>0</v>
      </c>
      <c r="V49" s="67">
        <f>U49*E49</f>
        <v>0</v>
      </c>
      <c r="W49" s="44">
        <v>0</v>
      </c>
      <c r="X49" s="44">
        <f t="shared" ref="X49:X52" si="19">IF(D49=0,0,S49/D49)</f>
        <v>0</v>
      </c>
      <c r="Y49" s="45">
        <f t="shared" ref="Y49:Y52" si="20">W49+X49</f>
        <v>0</v>
      </c>
      <c r="Z49" s="103">
        <f>(J49+K49+L49+M49)*E49</f>
        <v>0</v>
      </c>
      <c r="AA49" s="103">
        <f>Q49*E49</f>
        <v>0</v>
      </c>
      <c r="AB49" s="103">
        <f>(J49+K49+L49+M49+N49)*E49</f>
        <v>0</v>
      </c>
      <c r="AC49" s="5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</row>
    <row r="50" spans="1:42" s="91" customFormat="1" ht="25.5">
      <c r="A50" s="39" t="s">
        <v>44</v>
      </c>
      <c r="B50" s="40" t="s">
        <v>40</v>
      </c>
      <c r="C50" s="63" t="s">
        <v>23</v>
      </c>
      <c r="D50" s="64">
        <v>0</v>
      </c>
      <c r="E50" s="65">
        <v>1623.61</v>
      </c>
      <c r="F50" s="65"/>
      <c r="G50" s="65">
        <v>1320.01</v>
      </c>
      <c r="H50" s="66">
        <f>ROUND(D50*E50,2)</f>
        <v>0</v>
      </c>
      <c r="I50" s="182" t="s">
        <v>451</v>
      </c>
      <c r="J50" s="67">
        <v>0</v>
      </c>
      <c r="K50" s="67">
        <v>0</v>
      </c>
      <c r="L50" s="67"/>
      <c r="M50" s="67"/>
      <c r="N50" s="67"/>
      <c r="O50" s="67"/>
      <c r="P50" s="67"/>
      <c r="Q50" s="67"/>
      <c r="R50" s="67"/>
      <c r="S50" s="67"/>
      <c r="T50" s="67">
        <f t="shared" si="18"/>
        <v>0</v>
      </c>
      <c r="U50" s="67">
        <f>D50-T50</f>
        <v>0</v>
      </c>
      <c r="V50" s="67">
        <f>U50*E50</f>
        <v>0</v>
      </c>
      <c r="W50" s="44">
        <v>0</v>
      </c>
      <c r="X50" s="44">
        <f t="shared" si="19"/>
        <v>0</v>
      </c>
      <c r="Y50" s="45">
        <f t="shared" si="20"/>
        <v>0</v>
      </c>
      <c r="Z50" s="103">
        <f>(J50+K50+L50+M50)*E50</f>
        <v>0</v>
      </c>
      <c r="AA50" s="103">
        <f>Q50*E50</f>
        <v>0</v>
      </c>
      <c r="AB50" s="103">
        <f>(J50+K50+L50+M50+N50)*E50</f>
        <v>0</v>
      </c>
      <c r="AC50" s="5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</row>
    <row r="51" spans="1:42" s="91" customFormat="1">
      <c r="A51" s="39" t="s">
        <v>45</v>
      </c>
      <c r="B51" s="40" t="s">
        <v>46</v>
      </c>
      <c r="C51" s="63" t="s">
        <v>8</v>
      </c>
      <c r="D51" s="64">
        <v>0</v>
      </c>
      <c r="E51" s="65">
        <v>8.27</v>
      </c>
      <c r="F51" s="65"/>
      <c r="G51" s="65">
        <v>6.72</v>
      </c>
      <c r="H51" s="66">
        <f>ROUND(D51*E51,2)</f>
        <v>0</v>
      </c>
      <c r="I51" s="182" t="s">
        <v>452</v>
      </c>
      <c r="J51" s="67">
        <v>0</v>
      </c>
      <c r="K51" s="67"/>
      <c r="L51" s="67"/>
      <c r="M51" s="67"/>
      <c r="N51" s="67"/>
      <c r="O51" s="67"/>
      <c r="P51" s="67"/>
      <c r="Q51" s="67"/>
      <c r="R51" s="67"/>
      <c r="S51" s="67"/>
      <c r="T51" s="67">
        <f t="shared" si="18"/>
        <v>0</v>
      </c>
      <c r="U51" s="67">
        <f>D51-T51</f>
        <v>0</v>
      </c>
      <c r="V51" s="67">
        <f>U51*E51</f>
        <v>0</v>
      </c>
      <c r="W51" s="44">
        <v>0</v>
      </c>
      <c r="X51" s="44">
        <f t="shared" si="19"/>
        <v>0</v>
      </c>
      <c r="Y51" s="45">
        <f t="shared" si="20"/>
        <v>0</v>
      </c>
      <c r="Z51" s="103">
        <f>(J51+K51+L51+M51)*E51</f>
        <v>0</v>
      </c>
      <c r="AA51" s="103">
        <f>Q51*E51</f>
        <v>0</v>
      </c>
      <c r="AB51" s="103">
        <f>(J51+K51+L51+M51+N51)*E51</f>
        <v>0</v>
      </c>
      <c r="AC51" s="5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</row>
    <row r="52" spans="1:42" s="91" customFormat="1">
      <c r="A52" s="206"/>
      <c r="B52" s="206"/>
      <c r="C52" s="206"/>
      <c r="D52" s="60"/>
      <c r="E52" s="65"/>
      <c r="F52" s="207"/>
      <c r="G52" s="65">
        <v>0</v>
      </c>
      <c r="H52" s="61"/>
      <c r="I52" s="208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>
        <f t="shared" si="18"/>
        <v>0</v>
      </c>
      <c r="U52" s="67"/>
      <c r="V52" s="67">
        <f>U52*E52</f>
        <v>0</v>
      </c>
      <c r="W52" s="44">
        <v>0</v>
      </c>
      <c r="X52" s="44">
        <f t="shared" si="19"/>
        <v>0</v>
      </c>
      <c r="Y52" s="45">
        <f t="shared" si="20"/>
        <v>0</v>
      </c>
      <c r="Z52" s="103">
        <f>(J52+K52+L52+M52)*E52</f>
        <v>0</v>
      </c>
      <c r="AA52" s="103">
        <f>Q52*E52</f>
        <v>0</v>
      </c>
      <c r="AB52" s="103">
        <f>(J52+K52+L52+M52+N52)*E52</f>
        <v>0</v>
      </c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</row>
    <row r="53" spans="1:42" s="93" customFormat="1">
      <c r="A53" s="175">
        <v>4</v>
      </c>
      <c r="B53" s="33" t="s">
        <v>47</v>
      </c>
      <c r="C53" s="34"/>
      <c r="D53" s="35"/>
      <c r="E53" s="36">
        <v>0</v>
      </c>
      <c r="F53" s="36"/>
      <c r="G53" s="36">
        <v>0</v>
      </c>
      <c r="H53" s="37">
        <f>H54+H58+H62</f>
        <v>21538.260000000002</v>
      </c>
      <c r="I53" s="50"/>
      <c r="J53" s="62"/>
      <c r="K53" s="62"/>
      <c r="L53" s="115"/>
      <c r="M53" s="62"/>
      <c r="N53" s="62"/>
      <c r="O53" s="62"/>
      <c r="P53" s="62"/>
      <c r="Q53" s="62"/>
      <c r="R53" s="115"/>
      <c r="S53" s="62"/>
      <c r="T53" s="62"/>
      <c r="U53" s="62"/>
      <c r="V53" s="37" t="e">
        <f>V54+V58+V62</f>
        <v>#REF!</v>
      </c>
      <c r="W53" s="38"/>
      <c r="X53" s="155"/>
      <c r="Y53" s="38"/>
      <c r="Z53" s="37">
        <f>Z54+Z58+Z62</f>
        <v>20472.861799999999</v>
      </c>
      <c r="AA53" s="37" t="e">
        <f>AA54+AA58+AA62</f>
        <v>#REF!</v>
      </c>
      <c r="AB53" s="37">
        <f>AB54+AB58+AB62</f>
        <v>20472.861799999999</v>
      </c>
      <c r="AC53" s="1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</row>
    <row r="54" spans="1:42" s="95" customFormat="1">
      <c r="A54" s="71" t="s">
        <v>48</v>
      </c>
      <c r="B54" s="72" t="s">
        <v>49</v>
      </c>
      <c r="C54" s="73"/>
      <c r="D54" s="68"/>
      <c r="E54" s="69">
        <v>0</v>
      </c>
      <c r="F54" s="69"/>
      <c r="G54" s="69">
        <v>0</v>
      </c>
      <c r="H54" s="75">
        <f>SUM(H55:H56)</f>
        <v>4375.04</v>
      </c>
      <c r="I54" s="190"/>
      <c r="J54" s="77"/>
      <c r="K54" s="77"/>
      <c r="L54" s="116"/>
      <c r="M54" s="77"/>
      <c r="N54" s="77"/>
      <c r="O54" s="77"/>
      <c r="P54" s="77"/>
      <c r="Q54" s="77"/>
      <c r="R54" s="116"/>
      <c r="S54" s="77"/>
      <c r="T54" s="77"/>
      <c r="U54" s="77"/>
      <c r="V54" s="75" t="e">
        <f>SUM(V55:V56)</f>
        <v>#REF!</v>
      </c>
      <c r="W54" s="77"/>
      <c r="X54" s="155"/>
      <c r="Y54" s="78">
        <f>J54</f>
        <v>0</v>
      </c>
      <c r="Z54" s="75">
        <f>SUM(Z55:Z56)</f>
        <v>3309.6412999999998</v>
      </c>
      <c r="AA54" s="75" t="e">
        <f>SUM(AA55:AA56)</f>
        <v>#REF!</v>
      </c>
      <c r="AB54" s="75">
        <f>SUM(AB55:AB56)</f>
        <v>3309.6412999999998</v>
      </c>
      <c r="AC54" s="76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</row>
    <row r="55" spans="1:42" s="91" customFormat="1" ht="25.5">
      <c r="A55" s="39" t="s">
        <v>50</v>
      </c>
      <c r="B55" s="40" t="s">
        <v>38</v>
      </c>
      <c r="C55" s="63" t="s">
        <v>8</v>
      </c>
      <c r="D55" s="64">
        <v>21.146999999999991</v>
      </c>
      <c r="E55" s="65">
        <v>49.34</v>
      </c>
      <c r="F55" s="41">
        <f t="shared" ref="F55:F56" si="21">U55</f>
        <v>0.46699999999999164</v>
      </c>
      <c r="G55" s="65">
        <v>40.11</v>
      </c>
      <c r="H55" s="66">
        <f>ROUND(D55*E55,2)</f>
        <v>1043.3900000000001</v>
      </c>
      <c r="I55" s="182" t="s">
        <v>468</v>
      </c>
      <c r="J55" s="67"/>
      <c r="K55" s="67">
        <v>20.68</v>
      </c>
      <c r="L55" s="67"/>
      <c r="M55" s="67"/>
      <c r="N55" s="67"/>
      <c r="O55" s="67"/>
      <c r="P55" s="67"/>
      <c r="Q55" s="67"/>
      <c r="R55" s="67"/>
      <c r="S55" s="67"/>
      <c r="T55" s="67">
        <f t="shared" ref="T55:T57" si="22">SUM(J55:S55)</f>
        <v>20.68</v>
      </c>
      <c r="U55" s="67">
        <f>D55-T55</f>
        <v>0.46699999999999164</v>
      </c>
      <c r="V55" s="67">
        <f>U55*E55</f>
        <v>23.041779999999591</v>
      </c>
      <c r="W55" s="44">
        <f t="shared" ref="W55:W56" si="23">(SUM(J55:R55))/D55</f>
        <v>0.97791648933654929</v>
      </c>
      <c r="X55" s="44">
        <f t="shared" ref="X55:X57" si="24">IF(D55=0,0,S55/D55)</f>
        <v>0</v>
      </c>
      <c r="Y55" s="45">
        <f>W55+X55</f>
        <v>0.97791648933654929</v>
      </c>
      <c r="Z55" s="103">
        <f>(J55+K55+L55+M55+N55)*E55</f>
        <v>1020.3512000000001</v>
      </c>
      <c r="AA55" s="103">
        <f t="shared" ref="AA55" si="25">S55*G55</f>
        <v>0</v>
      </c>
      <c r="AB55" s="103">
        <f>(J55+K55+L55+M55+N55+O55)*E55</f>
        <v>1020.3512000000001</v>
      </c>
      <c r="AC55" s="5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</row>
    <row r="56" spans="1:42" s="91" customFormat="1" ht="25.5">
      <c r="A56" s="39" t="s">
        <v>51</v>
      </c>
      <c r="B56" s="40" t="s">
        <v>40</v>
      </c>
      <c r="C56" s="63" t="s">
        <v>23</v>
      </c>
      <c r="D56" s="64">
        <v>2.0519999999999996</v>
      </c>
      <c r="E56" s="65">
        <v>1623.61</v>
      </c>
      <c r="F56" s="41" t="e">
        <f t="shared" si="21"/>
        <v>#REF!</v>
      </c>
      <c r="G56" s="65">
        <v>1320.01</v>
      </c>
      <c r="H56" s="66">
        <f>ROUND(D56*E56,2)</f>
        <v>3331.65</v>
      </c>
      <c r="I56" s="182" t="s">
        <v>469</v>
      </c>
      <c r="J56" s="67"/>
      <c r="K56" s="67">
        <v>1.41</v>
      </c>
      <c r="L56" s="67"/>
      <c r="M56" s="67"/>
      <c r="N56" s="67"/>
      <c r="O56" s="67"/>
      <c r="P56" s="67"/>
      <c r="Q56" s="67"/>
      <c r="R56" s="67"/>
      <c r="S56" s="67" t="e">
        <f>#REF!</f>
        <v>#REF!</v>
      </c>
      <c r="T56" s="67" t="e">
        <f t="shared" si="22"/>
        <v>#REF!</v>
      </c>
      <c r="U56" s="67" t="e">
        <f>D56-T56</f>
        <v>#REF!</v>
      </c>
      <c r="V56" s="67" t="e">
        <f>U56*E56</f>
        <v>#REF!</v>
      </c>
      <c r="W56" s="44">
        <f t="shared" si="23"/>
        <v>0.68713450292397671</v>
      </c>
      <c r="X56" s="44" t="e">
        <f>IF(D56=0,0,S56/D56)</f>
        <v>#REF!</v>
      </c>
      <c r="Y56" s="45" t="e">
        <f>W56+X56</f>
        <v>#REF!</v>
      </c>
      <c r="Z56" s="103">
        <f>(J56+K56+L56+M56+N56)*E56</f>
        <v>2289.2900999999997</v>
      </c>
      <c r="AA56" s="103" t="e">
        <f>S56*G56</f>
        <v>#REF!</v>
      </c>
      <c r="AB56" s="103">
        <f>(J56+K56+L56+M56+N56+O56)*E56</f>
        <v>2289.2900999999997</v>
      </c>
      <c r="AC56" s="5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</row>
    <row r="57" spans="1:42" s="91" customFormat="1">
      <c r="A57" s="224"/>
      <c r="B57" s="224"/>
      <c r="C57" s="224"/>
      <c r="D57" s="60"/>
      <c r="E57" s="65"/>
      <c r="F57" s="222"/>
      <c r="G57" s="65">
        <v>0</v>
      </c>
      <c r="H57" s="61"/>
      <c r="I57" s="225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>
        <f t="shared" si="22"/>
        <v>0</v>
      </c>
      <c r="U57" s="67"/>
      <c r="V57" s="67">
        <f>U57*E57</f>
        <v>0</v>
      </c>
      <c r="W57" s="44">
        <v>0</v>
      </c>
      <c r="X57" s="44">
        <f t="shared" si="24"/>
        <v>0</v>
      </c>
      <c r="Y57" s="45">
        <f t="shared" ref="Y57" si="26">W57+X57</f>
        <v>0</v>
      </c>
      <c r="Z57" s="103">
        <f>(J57+K57+L57+M57)*E57</f>
        <v>0</v>
      </c>
      <c r="AA57" s="103">
        <f>Q57*E57</f>
        <v>0</v>
      </c>
      <c r="AB57" s="103">
        <f>(J57+K57+L57+M57+N57)*E57</f>
        <v>0</v>
      </c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</row>
    <row r="58" spans="1:42" s="95" customFormat="1">
      <c r="A58" s="71" t="s">
        <v>52</v>
      </c>
      <c r="B58" s="72" t="s">
        <v>53</v>
      </c>
      <c r="C58" s="73"/>
      <c r="D58" s="74"/>
      <c r="E58" s="69">
        <v>0</v>
      </c>
      <c r="F58" s="69"/>
      <c r="G58" s="69">
        <v>0</v>
      </c>
      <c r="H58" s="75">
        <f>SUM(H59:H60)</f>
        <v>11237.650000000001</v>
      </c>
      <c r="I58" s="190"/>
      <c r="J58" s="77"/>
      <c r="K58" s="77"/>
      <c r="L58" s="116"/>
      <c r="M58" s="77"/>
      <c r="N58" s="77"/>
      <c r="O58" s="77"/>
      <c r="P58" s="77"/>
      <c r="Q58" s="77"/>
      <c r="R58" s="77"/>
      <c r="S58" s="77"/>
      <c r="T58" s="77"/>
      <c r="U58" s="77"/>
      <c r="V58" s="75">
        <f>SUM(V59:V60)</f>
        <v>0</v>
      </c>
      <c r="W58" s="77"/>
      <c r="X58" s="155"/>
      <c r="Y58" s="78">
        <f>J58</f>
        <v>0</v>
      </c>
      <c r="Z58" s="75">
        <f>SUM(Z59:Z60)</f>
        <v>11237.6525</v>
      </c>
      <c r="AA58" s="75">
        <f>SUM(AA59:AA60)</f>
        <v>0</v>
      </c>
      <c r="AB58" s="75">
        <f>SUM(AB59:AB60)</f>
        <v>11237.6525</v>
      </c>
      <c r="AC58" s="76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</row>
    <row r="59" spans="1:42" s="91" customFormat="1" ht="25.5">
      <c r="A59" s="39" t="s">
        <v>54</v>
      </c>
      <c r="B59" s="40" t="s">
        <v>38</v>
      </c>
      <c r="C59" s="63" t="s">
        <v>8</v>
      </c>
      <c r="D59" s="64">
        <v>55</v>
      </c>
      <c r="E59" s="65">
        <v>49.34</v>
      </c>
      <c r="F59" s="65"/>
      <c r="G59" s="65">
        <v>40.11</v>
      </c>
      <c r="H59" s="66">
        <f>ROUND(D59*E59,2)</f>
        <v>2713.7</v>
      </c>
      <c r="I59" s="182" t="str">
        <f>I55</f>
        <v>11644/ORSE</v>
      </c>
      <c r="J59" s="67"/>
      <c r="K59" s="67">
        <v>0</v>
      </c>
      <c r="L59" s="67">
        <v>55</v>
      </c>
      <c r="M59" s="67"/>
      <c r="N59" s="67"/>
      <c r="O59" s="67"/>
      <c r="P59" s="67"/>
      <c r="Q59" s="67"/>
      <c r="R59" s="67"/>
      <c r="S59" s="67"/>
      <c r="T59" s="67">
        <f t="shared" ref="T59:T61" si="27">SUM(J59:S59)</f>
        <v>55</v>
      </c>
      <c r="U59" s="67">
        <f>D59-T59</f>
        <v>0</v>
      </c>
      <c r="V59" s="67">
        <f>U59*E59</f>
        <v>0</v>
      </c>
      <c r="W59" s="44">
        <f t="shared" ref="W59:W60" si="28">(SUM(J59:R59))/D59</f>
        <v>1</v>
      </c>
      <c r="X59" s="44">
        <f t="shared" ref="X59:X61" si="29">IF(D59=0,0,S59/D59)</f>
        <v>0</v>
      </c>
      <c r="Y59" s="45">
        <f t="shared" ref="Y59:Y61" si="30">W59+X59</f>
        <v>1</v>
      </c>
      <c r="Z59" s="103">
        <f>(J59+K59+L59+M59+N59)*E59</f>
        <v>2713.7000000000003</v>
      </c>
      <c r="AA59" s="103">
        <f>Q59*E59</f>
        <v>0</v>
      </c>
      <c r="AB59" s="103">
        <f>(J59+K59+L59+M59+N59+O59)*E59</f>
        <v>2713.7000000000003</v>
      </c>
      <c r="AC59" s="5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</row>
    <row r="60" spans="1:42" s="91" customFormat="1" ht="25.5">
      <c r="A60" s="39" t="s">
        <v>55</v>
      </c>
      <c r="B60" s="40" t="s">
        <v>40</v>
      </c>
      <c r="C60" s="63" t="s">
        <v>23</v>
      </c>
      <c r="D60" s="64">
        <v>5.25</v>
      </c>
      <c r="E60" s="65">
        <v>1623.61</v>
      </c>
      <c r="F60" s="65"/>
      <c r="G60" s="65">
        <v>1320.01</v>
      </c>
      <c r="H60" s="66">
        <f>ROUND(D60*E60,2)</f>
        <v>8523.9500000000007</v>
      </c>
      <c r="I60" s="182" t="str">
        <f>I56</f>
        <v>95956/SINAPI</v>
      </c>
      <c r="J60" s="67"/>
      <c r="K60" s="67">
        <v>0</v>
      </c>
      <c r="L60" s="67">
        <v>5.25</v>
      </c>
      <c r="M60" s="67"/>
      <c r="N60" s="67"/>
      <c r="O60" s="67"/>
      <c r="P60" s="67"/>
      <c r="Q60" s="67"/>
      <c r="R60" s="67"/>
      <c r="S60" s="67"/>
      <c r="T60" s="67">
        <f t="shared" si="27"/>
        <v>5.25</v>
      </c>
      <c r="U60" s="67">
        <f>D60-T60</f>
        <v>0</v>
      </c>
      <c r="V60" s="67">
        <f>U60*E60</f>
        <v>0</v>
      </c>
      <c r="W60" s="44">
        <f t="shared" si="28"/>
        <v>1</v>
      </c>
      <c r="X60" s="44">
        <f t="shared" si="29"/>
        <v>0</v>
      </c>
      <c r="Y60" s="45">
        <f t="shared" si="30"/>
        <v>1</v>
      </c>
      <c r="Z60" s="103">
        <f>(J60+K60+L60+M60+N60)*E60</f>
        <v>8523.9524999999994</v>
      </c>
      <c r="AA60" s="103">
        <f>Q60*E60</f>
        <v>0</v>
      </c>
      <c r="AB60" s="103">
        <f>(J60+K60+L60+M60+N60+O60)*E60</f>
        <v>8523.9524999999994</v>
      </c>
      <c r="AC60" s="5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</row>
    <row r="61" spans="1:42" s="91" customFormat="1">
      <c r="A61" s="59"/>
      <c r="B61" s="59"/>
      <c r="C61" s="59"/>
      <c r="D61" s="60"/>
      <c r="E61" s="65"/>
      <c r="F61" s="65"/>
      <c r="G61" s="65">
        <v>0</v>
      </c>
      <c r="H61" s="61"/>
      <c r="I61" s="188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>
        <f t="shared" si="27"/>
        <v>0</v>
      </c>
      <c r="U61" s="67"/>
      <c r="V61" s="67">
        <f>U61*E61</f>
        <v>0</v>
      </c>
      <c r="W61" s="44">
        <v>0</v>
      </c>
      <c r="X61" s="44">
        <f t="shared" si="29"/>
        <v>0</v>
      </c>
      <c r="Y61" s="45">
        <f t="shared" si="30"/>
        <v>0</v>
      </c>
      <c r="Z61" s="103">
        <f>(J61+K61+L61+M61)*E61</f>
        <v>0</v>
      </c>
      <c r="AA61" s="103">
        <f>Q61*E61</f>
        <v>0</v>
      </c>
      <c r="AB61" s="103">
        <f>(J61+K61+L61+M61+N61)*E61</f>
        <v>0</v>
      </c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</row>
    <row r="62" spans="1:42" s="93" customFormat="1">
      <c r="A62" s="55" t="s">
        <v>56</v>
      </c>
      <c r="B62" s="46" t="s">
        <v>57</v>
      </c>
      <c r="C62" s="47"/>
      <c r="D62" s="35"/>
      <c r="E62" s="36">
        <v>0</v>
      </c>
      <c r="F62" s="36"/>
      <c r="G62" s="36">
        <v>0</v>
      </c>
      <c r="H62" s="37">
        <f>SUM(H63)</f>
        <v>5925.57</v>
      </c>
      <c r="I62" s="50"/>
      <c r="J62" s="77"/>
      <c r="K62" s="77"/>
      <c r="L62" s="116"/>
      <c r="M62" s="77"/>
      <c r="N62" s="77"/>
      <c r="O62" s="77"/>
      <c r="P62" s="77"/>
      <c r="Q62" s="77"/>
      <c r="R62" s="77"/>
      <c r="S62" s="77"/>
      <c r="T62" s="77"/>
      <c r="U62" s="77"/>
      <c r="V62" s="37">
        <f>SUM(V63)</f>
        <v>0</v>
      </c>
      <c r="W62" s="38"/>
      <c r="X62" s="155"/>
      <c r="Y62" s="38"/>
      <c r="Z62" s="37">
        <f>SUM(Z63)</f>
        <v>5925.5679999999993</v>
      </c>
      <c r="AA62" s="37">
        <f>SUM(AA63)</f>
        <v>0</v>
      </c>
      <c r="AB62" s="37">
        <f>SUM(AB63)</f>
        <v>5925.5679999999993</v>
      </c>
      <c r="AC62" s="1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</row>
    <row r="63" spans="1:42" ht="25.5">
      <c r="A63" s="39" t="s">
        <v>58</v>
      </c>
      <c r="B63" s="40" t="s">
        <v>59</v>
      </c>
      <c r="C63" s="39" t="s">
        <v>8</v>
      </c>
      <c r="D63" s="41">
        <v>88.6</v>
      </c>
      <c r="E63" s="42">
        <v>66.88</v>
      </c>
      <c r="F63" s="42"/>
      <c r="G63" s="42">
        <v>54.37</v>
      </c>
      <c r="H63" s="43">
        <f>ROUND(D63*E63,2)</f>
        <v>5925.57</v>
      </c>
      <c r="I63" s="183" t="s">
        <v>470</v>
      </c>
      <c r="J63" s="67">
        <v>88.6</v>
      </c>
      <c r="K63" s="67"/>
      <c r="L63" s="67"/>
      <c r="M63" s="67"/>
      <c r="N63" s="67"/>
      <c r="O63" s="67"/>
      <c r="P63" s="67"/>
      <c r="Q63" s="67"/>
      <c r="R63" s="67"/>
      <c r="S63" s="67"/>
      <c r="T63" s="67">
        <f t="shared" ref="T63:T64" si="31">SUM(J63:S63)</f>
        <v>88.6</v>
      </c>
      <c r="U63" s="67">
        <f>D63-T63</f>
        <v>0</v>
      </c>
      <c r="V63" s="67">
        <f>U63*E63</f>
        <v>0</v>
      </c>
      <c r="W63" s="44">
        <f t="shared" ref="W63" si="32">(SUM(J63:R63))/D63</f>
        <v>1</v>
      </c>
      <c r="X63" s="44">
        <f t="shared" ref="X63:X64" si="33">IF(D63=0,0,S63/D63)</f>
        <v>0</v>
      </c>
      <c r="Y63" s="45">
        <f t="shared" ref="Y63:Y64" si="34">W63+X63</f>
        <v>1</v>
      </c>
      <c r="Z63" s="103">
        <f>(J63+K63+L63+M63+N63)*E63</f>
        <v>5925.5679999999993</v>
      </c>
      <c r="AA63" s="103">
        <f>Q63*E63</f>
        <v>0</v>
      </c>
      <c r="AB63" s="103">
        <f>(J63+K63+L63+M63+N63+O63)*E63</f>
        <v>5925.5679999999993</v>
      </c>
      <c r="AC63" s="5"/>
    </row>
    <row r="64" spans="1:42" s="91" customFormat="1">
      <c r="A64" s="206"/>
      <c r="B64" s="206"/>
      <c r="C64" s="206"/>
      <c r="D64" s="60"/>
      <c r="E64" s="65"/>
      <c r="F64" s="207"/>
      <c r="G64" s="65">
        <v>0</v>
      </c>
      <c r="H64" s="61"/>
      <c r="I64" s="208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>
        <f t="shared" si="31"/>
        <v>0</v>
      </c>
      <c r="U64" s="67"/>
      <c r="V64" s="67">
        <f>U64*E64</f>
        <v>0</v>
      </c>
      <c r="W64" s="44">
        <v>0</v>
      </c>
      <c r="X64" s="44">
        <f t="shared" si="33"/>
        <v>0</v>
      </c>
      <c r="Y64" s="45">
        <f t="shared" si="34"/>
        <v>0</v>
      </c>
      <c r="Z64" s="103">
        <f>(J64+K64+L64+M64)*E64</f>
        <v>0</v>
      </c>
      <c r="AA64" s="103">
        <f>Q64*E64</f>
        <v>0</v>
      </c>
      <c r="AB64" s="103">
        <f>(J64+K64+L64+M64+N64)*E64</f>
        <v>0</v>
      </c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</row>
    <row r="65" spans="1:42" s="93" customFormat="1">
      <c r="A65" s="175">
        <v>5</v>
      </c>
      <c r="B65" s="33" t="s">
        <v>60</v>
      </c>
      <c r="C65" s="34"/>
      <c r="D65" s="35"/>
      <c r="E65" s="36">
        <v>0</v>
      </c>
      <c r="F65" s="36"/>
      <c r="G65" s="36">
        <v>0</v>
      </c>
      <c r="H65" s="37">
        <f>SUM(H66:H70)</f>
        <v>38896.35</v>
      </c>
      <c r="I65" s="50"/>
      <c r="J65" s="62"/>
      <c r="K65" s="62"/>
      <c r="L65" s="115"/>
      <c r="M65" s="62"/>
      <c r="N65" s="62"/>
      <c r="O65" s="62"/>
      <c r="P65" s="62"/>
      <c r="Q65" s="62"/>
      <c r="R65" s="115"/>
      <c r="S65" s="62"/>
      <c r="T65" s="62"/>
      <c r="U65" s="62"/>
      <c r="V65" s="37" t="e">
        <f>SUM(V66:V70)</f>
        <v>#REF!</v>
      </c>
      <c r="W65" s="38"/>
      <c r="X65" s="155"/>
      <c r="Y65" s="38"/>
      <c r="Z65" s="37">
        <f>SUM(Z66:Z70)</f>
        <v>34936.413824999996</v>
      </c>
      <c r="AA65" s="37" t="e">
        <f>SUM(AA66:AA70)</f>
        <v>#REF!</v>
      </c>
      <c r="AB65" s="37">
        <f>SUM(AB66:AB70)</f>
        <v>34936.413824999996</v>
      </c>
      <c r="AC65" s="1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</row>
    <row r="66" spans="1:42" ht="38.25">
      <c r="A66" s="39" t="s">
        <v>61</v>
      </c>
      <c r="B66" s="40" t="s">
        <v>62</v>
      </c>
      <c r="C66" s="39" t="s">
        <v>8</v>
      </c>
      <c r="D66" s="41">
        <v>137.03400000000002</v>
      </c>
      <c r="E66" s="42">
        <v>49.85</v>
      </c>
      <c r="F66" s="41">
        <f>U66</f>
        <v>48.4315</v>
      </c>
      <c r="G66" s="42">
        <v>40.53</v>
      </c>
      <c r="H66" s="43">
        <f>ROUND(D66*E66,2)</f>
        <v>6831.14</v>
      </c>
      <c r="I66" s="181" t="s">
        <v>471</v>
      </c>
      <c r="J66" s="67">
        <v>88.60250000000002</v>
      </c>
      <c r="K66" s="67"/>
      <c r="L66" s="67"/>
      <c r="M66" s="67"/>
      <c r="N66" s="67"/>
      <c r="O66" s="67"/>
      <c r="P66" s="67"/>
      <c r="Q66" s="67"/>
      <c r="R66" s="67"/>
      <c r="S66" s="67"/>
      <c r="T66" s="67">
        <f t="shared" ref="T66:T71" si="35">SUM(J66:S66)</f>
        <v>88.60250000000002</v>
      </c>
      <c r="U66" s="67">
        <f>D66-T66</f>
        <v>48.4315</v>
      </c>
      <c r="V66" s="67">
        <f t="shared" ref="V66:V71" si="36">U66*E66</f>
        <v>2414.3102750000003</v>
      </c>
      <c r="W66" s="44">
        <f t="shared" ref="W66:W70" si="37">(SUM(J66:R66))/D66</f>
        <v>0.6465731132419692</v>
      </c>
      <c r="X66" s="44">
        <f t="shared" ref="X66:X71" si="38">IF(D66=0,0,S66/D66)</f>
        <v>0</v>
      </c>
      <c r="Y66" s="45">
        <f t="shared" ref="Y66:Y71" si="39">W66+X66</f>
        <v>0.6465731132419692</v>
      </c>
      <c r="Z66" s="103">
        <f>(J66+K66+L66+M66+N66)*E66</f>
        <v>4416.8346250000013</v>
      </c>
      <c r="AA66" s="103">
        <f>S66*G66</f>
        <v>0</v>
      </c>
      <c r="AB66" s="103">
        <f>(J66+K66+L66+M66+N66+O66)*E66</f>
        <v>4416.8346250000013</v>
      </c>
      <c r="AC66" s="5"/>
    </row>
    <row r="67" spans="1:42" s="91" customFormat="1" ht="38.25">
      <c r="A67" s="145" t="s">
        <v>63</v>
      </c>
      <c r="B67" s="215" t="s">
        <v>64</v>
      </c>
      <c r="C67" s="216" t="s">
        <v>8</v>
      </c>
      <c r="D67" s="64">
        <v>183</v>
      </c>
      <c r="E67" s="65">
        <v>62.85</v>
      </c>
      <c r="F67" s="217"/>
      <c r="G67" s="65">
        <v>51.1</v>
      </c>
      <c r="H67" s="66">
        <f>ROUND(D67*E67,2)</f>
        <v>11501.55</v>
      </c>
      <c r="I67" s="218" t="str">
        <f>I66</f>
        <v>00152/ORSE</v>
      </c>
      <c r="J67" s="67"/>
      <c r="K67" s="67">
        <v>183</v>
      </c>
      <c r="L67" s="67"/>
      <c r="M67" s="67"/>
      <c r="N67" s="67"/>
      <c r="O67" s="67"/>
      <c r="P67" s="67"/>
      <c r="Q67" s="67"/>
      <c r="R67" s="67"/>
      <c r="S67" s="67"/>
      <c r="T67" s="67">
        <f t="shared" si="35"/>
        <v>183</v>
      </c>
      <c r="U67" s="67">
        <f>D67-T67</f>
        <v>0</v>
      </c>
      <c r="V67" s="67">
        <f t="shared" si="36"/>
        <v>0</v>
      </c>
      <c r="W67" s="44">
        <f t="shared" si="37"/>
        <v>1</v>
      </c>
      <c r="X67" s="44">
        <f t="shared" si="38"/>
        <v>0</v>
      </c>
      <c r="Y67" s="45">
        <f t="shared" si="39"/>
        <v>1</v>
      </c>
      <c r="Z67" s="103">
        <f>(J67+K67+L67+M67+N67)*E67</f>
        <v>11501.550000000001</v>
      </c>
      <c r="AA67" s="103">
        <f>Q67*E67</f>
        <v>0</v>
      </c>
      <c r="AB67" s="103">
        <f>(J67+K67+L67+M67+N67+O67)*E67</f>
        <v>11501.550000000001</v>
      </c>
      <c r="AC67" s="5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</row>
    <row r="68" spans="1:42" s="91" customFormat="1" ht="38.25">
      <c r="A68" s="39" t="s">
        <v>65</v>
      </c>
      <c r="B68" s="40" t="s">
        <v>66</v>
      </c>
      <c r="C68" s="63" t="s">
        <v>8</v>
      </c>
      <c r="D68" s="64">
        <v>28</v>
      </c>
      <c r="E68" s="65">
        <v>54.23</v>
      </c>
      <c r="F68" s="41">
        <f t="shared" ref="F68:F70" si="40">U68</f>
        <v>28</v>
      </c>
      <c r="G68" s="65">
        <v>44.09</v>
      </c>
      <c r="H68" s="66">
        <f>ROUND(D68*E68,2)</f>
        <v>1518.44</v>
      </c>
      <c r="I68" s="235" t="s">
        <v>472</v>
      </c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>
        <f t="shared" si="35"/>
        <v>0</v>
      </c>
      <c r="U68" s="67">
        <f>D68-T68</f>
        <v>28</v>
      </c>
      <c r="V68" s="67">
        <f t="shared" si="36"/>
        <v>1518.4399999999998</v>
      </c>
      <c r="W68" s="44">
        <f t="shared" si="37"/>
        <v>0</v>
      </c>
      <c r="X68" s="44">
        <f t="shared" si="38"/>
        <v>0</v>
      </c>
      <c r="Y68" s="45">
        <f t="shared" si="39"/>
        <v>0</v>
      </c>
      <c r="Z68" s="103">
        <f>(J68+K68+L68+M68+N68)*E68</f>
        <v>0</v>
      </c>
      <c r="AA68" s="103">
        <f>S68*G68</f>
        <v>0</v>
      </c>
      <c r="AB68" s="103">
        <f>(J68+K68+L68+M68+N68+O68)*E68</f>
        <v>0</v>
      </c>
      <c r="AC68" s="5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</row>
    <row r="69" spans="1:42" ht="25.5">
      <c r="A69" s="39" t="s">
        <v>67</v>
      </c>
      <c r="B69" s="40" t="s">
        <v>473</v>
      </c>
      <c r="C69" s="39" t="s">
        <v>8</v>
      </c>
      <c r="D69" s="41">
        <v>6</v>
      </c>
      <c r="E69" s="42">
        <v>123.59</v>
      </c>
      <c r="F69" s="41">
        <f t="shared" si="40"/>
        <v>0</v>
      </c>
      <c r="G69" s="42">
        <v>100.48</v>
      </c>
      <c r="H69" s="43">
        <f>ROUND(D69*E69,2)</f>
        <v>741.54</v>
      </c>
      <c r="I69" s="235" t="s">
        <v>475</v>
      </c>
      <c r="J69" s="67">
        <v>5.8000000000000007</v>
      </c>
      <c r="K69" s="67"/>
      <c r="L69" s="67"/>
      <c r="M69" s="67"/>
      <c r="N69" s="67"/>
      <c r="O69" s="67"/>
      <c r="P69" s="67"/>
      <c r="Q69" s="67"/>
      <c r="R69" s="67"/>
      <c r="S69" s="67">
        <v>0.2</v>
      </c>
      <c r="T69" s="67">
        <f t="shared" si="35"/>
        <v>6.0000000000000009</v>
      </c>
      <c r="U69" s="67">
        <f>D69-T69</f>
        <v>0</v>
      </c>
      <c r="V69" s="67">
        <f t="shared" si="36"/>
        <v>0</v>
      </c>
      <c r="W69" s="44">
        <f t="shared" si="37"/>
        <v>0.96666666666666679</v>
      </c>
      <c r="X69" s="44">
        <f t="shared" si="38"/>
        <v>3.3333333333333333E-2</v>
      </c>
      <c r="Y69" s="45">
        <f t="shared" si="39"/>
        <v>1.0000000000000002</v>
      </c>
      <c r="Z69" s="103">
        <f>(J69+K69+L69+M69+N69)*E69</f>
        <v>716.82200000000012</v>
      </c>
      <c r="AA69" s="103">
        <f>S69*E69</f>
        <v>24.718000000000004</v>
      </c>
      <c r="AB69" s="103">
        <f>(J69+K69+L69+M69+N69+O69)*E69</f>
        <v>716.82200000000012</v>
      </c>
      <c r="AC69" s="5"/>
    </row>
    <row r="70" spans="1:42" ht="25.5">
      <c r="A70" s="39" t="s">
        <v>68</v>
      </c>
      <c r="B70" s="40" t="s">
        <v>69</v>
      </c>
      <c r="C70" s="39" t="s">
        <v>8</v>
      </c>
      <c r="D70" s="41">
        <v>148.1</v>
      </c>
      <c r="E70" s="42">
        <v>123.59</v>
      </c>
      <c r="F70" s="41" t="e">
        <f t="shared" si="40"/>
        <v>#REF!</v>
      </c>
      <c r="G70" s="42">
        <v>100.48</v>
      </c>
      <c r="H70" s="43">
        <f>ROUND(D70*E70,2)</f>
        <v>18303.68</v>
      </c>
      <c r="I70" s="235" t="s">
        <v>474</v>
      </c>
      <c r="J70" s="67">
        <v>6.6</v>
      </c>
      <c r="K70" s="67"/>
      <c r="L70" s="67"/>
      <c r="M70" s="67">
        <v>141.47999999999999</v>
      </c>
      <c r="N70" s="67"/>
      <c r="O70" s="67"/>
      <c r="P70" s="67"/>
      <c r="Q70" s="67"/>
      <c r="R70" s="67"/>
      <c r="S70" s="67" t="e">
        <f>#REF!</f>
        <v>#REF!</v>
      </c>
      <c r="T70" s="67" t="e">
        <f t="shared" si="35"/>
        <v>#REF!</v>
      </c>
      <c r="U70" s="67" t="e">
        <f>D70-T70</f>
        <v>#REF!</v>
      </c>
      <c r="V70" s="67" t="e">
        <f t="shared" si="36"/>
        <v>#REF!</v>
      </c>
      <c r="W70" s="44">
        <f t="shared" si="37"/>
        <v>0.99986495611073589</v>
      </c>
      <c r="X70" s="44" t="e">
        <f t="shared" si="38"/>
        <v>#REF!</v>
      </c>
      <c r="Y70" s="45" t="e">
        <f t="shared" si="39"/>
        <v>#REF!</v>
      </c>
      <c r="Z70" s="103">
        <f>(J70+K70+L70+M70+N70)*E70</f>
        <v>18301.207199999997</v>
      </c>
      <c r="AA70" s="103" t="e">
        <f>S70*G70</f>
        <v>#REF!</v>
      </c>
      <c r="AB70" s="103">
        <f>(J70+K70+L70+M70+N70+O70)*E70</f>
        <v>18301.207199999997</v>
      </c>
      <c r="AC70" s="5"/>
    </row>
    <row r="71" spans="1:42">
      <c r="A71" s="226"/>
      <c r="B71" s="226"/>
      <c r="C71" s="226"/>
      <c r="D71" s="79"/>
      <c r="E71" s="42"/>
      <c r="F71" s="227"/>
      <c r="G71" s="42">
        <v>0</v>
      </c>
      <c r="H71" s="80"/>
      <c r="I71" s="228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>
        <f t="shared" si="35"/>
        <v>0</v>
      </c>
      <c r="U71" s="67"/>
      <c r="V71" s="67">
        <f t="shared" si="36"/>
        <v>0</v>
      </c>
      <c r="W71" s="44">
        <v>0</v>
      </c>
      <c r="X71" s="44">
        <f t="shared" si="38"/>
        <v>0</v>
      </c>
      <c r="Y71" s="45">
        <f t="shared" si="39"/>
        <v>0</v>
      </c>
      <c r="Z71" s="103">
        <f>(J71+K71+L71+M71)*E71</f>
        <v>0</v>
      </c>
      <c r="AA71" s="103">
        <f>Q71*E71</f>
        <v>0</v>
      </c>
      <c r="AB71" s="103">
        <f>(J71+K71+L71+M71+N71)*E71</f>
        <v>0</v>
      </c>
    </row>
    <row r="72" spans="1:42" s="95" customFormat="1">
      <c r="A72" s="175">
        <v>6</v>
      </c>
      <c r="B72" s="33" t="s">
        <v>70</v>
      </c>
      <c r="C72" s="34"/>
      <c r="D72" s="68"/>
      <c r="E72" s="69">
        <v>0</v>
      </c>
      <c r="F72" s="69"/>
      <c r="G72" s="69">
        <v>0</v>
      </c>
      <c r="H72" s="70">
        <f>SUM(H73:H74)</f>
        <v>161507.72</v>
      </c>
      <c r="I72" s="189"/>
      <c r="J72" s="62"/>
      <c r="K72" s="62"/>
      <c r="L72" s="115"/>
      <c r="M72" s="62"/>
      <c r="N72" s="62"/>
      <c r="O72" s="62"/>
      <c r="P72" s="62"/>
      <c r="Q72" s="62"/>
      <c r="R72" s="115"/>
      <c r="S72" s="62"/>
      <c r="T72" s="62"/>
      <c r="U72" s="62"/>
      <c r="V72" s="70" t="e">
        <f>SUM(V73:V74)</f>
        <v>#REF!</v>
      </c>
      <c r="W72" s="62"/>
      <c r="X72" s="155"/>
      <c r="Y72" s="78">
        <f>J72</f>
        <v>0</v>
      </c>
      <c r="Z72" s="70">
        <f>SUM(Z73:Z74)</f>
        <v>88683.907200000001</v>
      </c>
      <c r="AA72" s="70" t="e">
        <f>SUM(AA73:AA74)</f>
        <v>#REF!</v>
      </c>
      <c r="AB72" s="70">
        <f>SUM(AB73:AB74)</f>
        <v>105259.9296</v>
      </c>
      <c r="AC72" s="1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</row>
    <row r="73" spans="1:42" s="91" customFormat="1" ht="19.5">
      <c r="A73" s="39" t="s">
        <v>71</v>
      </c>
      <c r="B73" s="40" t="s">
        <v>72</v>
      </c>
      <c r="C73" s="63" t="s">
        <v>8</v>
      </c>
      <c r="D73" s="64">
        <v>1114</v>
      </c>
      <c r="E73" s="65">
        <v>104.16</v>
      </c>
      <c r="F73" s="41" t="e">
        <f t="shared" ref="F73:F74" si="41">U73</f>
        <v>#REF!</v>
      </c>
      <c r="G73" s="65">
        <v>84.68</v>
      </c>
      <c r="H73" s="66">
        <f>ROUND(D73*E73,2)</f>
        <v>116034.24000000001</v>
      </c>
      <c r="I73" s="182" t="s">
        <v>446</v>
      </c>
      <c r="J73" s="67"/>
      <c r="K73" s="67"/>
      <c r="L73" s="67"/>
      <c r="M73" s="67"/>
      <c r="N73" s="67">
        <v>318.29000000000002</v>
      </c>
      <c r="O73" s="67">
        <v>159.13999999999999</v>
      </c>
      <c r="P73" s="67">
        <v>318.29000000000002</v>
      </c>
      <c r="Q73" s="67">
        <v>55.7</v>
      </c>
      <c r="R73" s="67">
        <v>159.13999999999999</v>
      </c>
      <c r="S73" s="67" t="e">
        <f>#REF!</f>
        <v>#REF!</v>
      </c>
      <c r="T73" s="67" t="e">
        <f t="shared" ref="T73:T75" si="42">SUM(J73:S73)</f>
        <v>#REF!</v>
      </c>
      <c r="U73" s="67" t="e">
        <f>D73-T73</f>
        <v>#REF!</v>
      </c>
      <c r="V73" s="67" t="e">
        <f>U73*E73</f>
        <v>#REF!</v>
      </c>
      <c r="W73" s="44">
        <f t="shared" ref="W73:W74" si="43">(SUM(J73:R73))/D73</f>
        <v>0.90714542190305214</v>
      </c>
      <c r="X73" s="44" t="e">
        <f t="shared" ref="X73:X75" si="44">IF(D73=0,0,S73/D73)</f>
        <v>#REF!</v>
      </c>
      <c r="Y73" s="45" t="e">
        <f>W73+X73</f>
        <v>#REF!</v>
      </c>
      <c r="Z73" s="103">
        <f>(J73+K73+L73+M73+N73+O73+P73+Q73)*E73</f>
        <v>88683.907200000001</v>
      </c>
      <c r="AA73" s="103" t="e">
        <f>S73*E73</f>
        <v>#REF!</v>
      </c>
      <c r="AB73" s="103">
        <f>(J73+K73+L73+M73+N73+O73+P73+Q73+R73)*E73</f>
        <v>105259.9296</v>
      </c>
      <c r="AC73" s="250" t="e">
        <f>AA73</f>
        <v>#REF!</v>
      </c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</row>
    <row r="74" spans="1:42" s="91" customFormat="1">
      <c r="A74" s="39" t="s">
        <v>73</v>
      </c>
      <c r="B74" s="40" t="s">
        <v>74</v>
      </c>
      <c r="C74" s="63" t="s">
        <v>8</v>
      </c>
      <c r="D74" s="64">
        <v>1114</v>
      </c>
      <c r="E74" s="65">
        <v>40.82</v>
      </c>
      <c r="F74" s="41" t="e">
        <f t="shared" si="41"/>
        <v>#REF!</v>
      </c>
      <c r="G74" s="65">
        <v>33.19</v>
      </c>
      <c r="H74" s="66">
        <f>ROUND(D74*E74,2)</f>
        <v>45473.48</v>
      </c>
      <c r="I74" s="182" t="s">
        <v>446</v>
      </c>
      <c r="J74" s="67"/>
      <c r="K74" s="67"/>
      <c r="L74" s="67"/>
      <c r="M74" s="67"/>
      <c r="N74" s="67"/>
      <c r="O74" s="67"/>
      <c r="P74" s="67"/>
      <c r="Q74" s="67"/>
      <c r="R74" s="67"/>
      <c r="S74" s="67" t="e">
        <f>#REF!</f>
        <v>#REF!</v>
      </c>
      <c r="T74" s="67" t="e">
        <f t="shared" si="42"/>
        <v>#REF!</v>
      </c>
      <c r="U74" s="67" t="e">
        <f>D74-T74</f>
        <v>#REF!</v>
      </c>
      <c r="V74" s="67" t="e">
        <f>U74*E74</f>
        <v>#REF!</v>
      </c>
      <c r="W74" s="44">
        <f t="shared" si="43"/>
        <v>0</v>
      </c>
      <c r="X74" s="44" t="e">
        <f t="shared" si="44"/>
        <v>#REF!</v>
      </c>
      <c r="Y74" s="45" t="e">
        <f t="shared" ref="Y74:Y75" si="45">W74+X74</f>
        <v>#REF!</v>
      </c>
      <c r="Z74" s="103">
        <f>(J74+K74+L74+M74+N74)*E74</f>
        <v>0</v>
      </c>
      <c r="AA74" s="103" t="e">
        <f t="shared" ref="AA74" si="46">S74*G74</f>
        <v>#REF!</v>
      </c>
      <c r="AB74" s="103">
        <f>(J74+K74+L74+M74+N74+O74)*E74</f>
        <v>0</v>
      </c>
      <c r="AC74" s="5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</row>
    <row r="75" spans="1:42">
      <c r="A75" s="226"/>
      <c r="B75" s="226"/>
      <c r="C75" s="226"/>
      <c r="D75" s="79"/>
      <c r="E75" s="42"/>
      <c r="F75" s="227"/>
      <c r="G75" s="42">
        <v>0</v>
      </c>
      <c r="H75" s="80"/>
      <c r="I75" s="228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>
        <f t="shared" si="42"/>
        <v>0</v>
      </c>
      <c r="U75" s="67"/>
      <c r="V75" s="67">
        <f>U75*E75</f>
        <v>0</v>
      </c>
      <c r="W75" s="44">
        <v>0</v>
      </c>
      <c r="X75" s="44">
        <f t="shared" si="44"/>
        <v>0</v>
      </c>
      <c r="Y75" s="45">
        <f t="shared" si="45"/>
        <v>0</v>
      </c>
      <c r="Z75" s="103">
        <f>(J75+K75+L75+M75)*E75</f>
        <v>0</v>
      </c>
      <c r="AA75" s="103">
        <f>Q75*E75</f>
        <v>0</v>
      </c>
      <c r="AB75" s="103">
        <f>(J75+K75+L75+M75+N75)*E75</f>
        <v>0</v>
      </c>
    </row>
    <row r="76" spans="1:42" s="95" customFormat="1">
      <c r="A76" s="175">
        <v>7</v>
      </c>
      <c r="B76" s="33" t="s">
        <v>75</v>
      </c>
      <c r="C76" s="34"/>
      <c r="D76" s="68"/>
      <c r="E76" s="69">
        <v>0</v>
      </c>
      <c r="F76" s="69"/>
      <c r="G76" s="69">
        <v>0</v>
      </c>
      <c r="H76" s="70">
        <f>SUM(H77:H80)</f>
        <v>3549.89</v>
      </c>
      <c r="I76" s="189"/>
      <c r="J76" s="62"/>
      <c r="K76" s="62"/>
      <c r="L76" s="115"/>
      <c r="M76" s="62"/>
      <c r="N76" s="62"/>
      <c r="O76" s="62"/>
      <c r="P76" s="62"/>
      <c r="Q76" s="62"/>
      <c r="R76" s="115"/>
      <c r="S76" s="62"/>
      <c r="T76" s="62"/>
      <c r="U76" s="62"/>
      <c r="V76" s="70">
        <f>SUM(V77:V80)</f>
        <v>3549.89</v>
      </c>
      <c r="W76" s="62"/>
      <c r="X76" s="155"/>
      <c r="Y76" s="78">
        <f>J76</f>
        <v>0</v>
      </c>
      <c r="Z76" s="70">
        <f>SUM(Z77:Z80)</f>
        <v>0</v>
      </c>
      <c r="AA76" s="70">
        <f>SUM(AA77:AA80)</f>
        <v>0</v>
      </c>
      <c r="AB76" s="70">
        <f>SUM(AB77:AB80)</f>
        <v>0</v>
      </c>
      <c r="AC76" s="1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</row>
    <row r="77" spans="1:42" s="91" customFormat="1" ht="39" customHeight="1">
      <c r="A77" s="39" t="s">
        <v>76</v>
      </c>
      <c r="B77" s="40" t="s">
        <v>77</v>
      </c>
      <c r="C77" s="63" t="s">
        <v>78</v>
      </c>
      <c r="D77" s="64">
        <v>2</v>
      </c>
      <c r="E77" s="65">
        <v>783.41</v>
      </c>
      <c r="F77" s="41">
        <f t="shared" ref="F77:F80" si="47">U77</f>
        <v>2</v>
      </c>
      <c r="G77" s="65">
        <v>636.91999999999996</v>
      </c>
      <c r="H77" s="66">
        <f>ROUND(D77*E77,2)</f>
        <v>1566.82</v>
      </c>
      <c r="I77" s="235" t="s">
        <v>476</v>
      </c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>
        <f t="shared" ref="T77:T81" si="48">SUM(J77:S77)</f>
        <v>0</v>
      </c>
      <c r="U77" s="67">
        <f>D77-T77</f>
        <v>2</v>
      </c>
      <c r="V77" s="67">
        <f>U77*E77</f>
        <v>1566.82</v>
      </c>
      <c r="W77" s="44">
        <f>(SUM(J77:R77))/D77</f>
        <v>0</v>
      </c>
      <c r="X77" s="44">
        <f t="shared" ref="X77:X81" si="49">IF(D77=0,0,S77/D77)</f>
        <v>0</v>
      </c>
      <c r="Y77" s="45">
        <f>W77+X77</f>
        <v>0</v>
      </c>
      <c r="Z77" s="103">
        <f>(J77+K77+L77+M77+N77)*E77</f>
        <v>0</v>
      </c>
      <c r="AA77" s="103">
        <f t="shared" ref="AA77:AA80" si="50">S77*G77</f>
        <v>0</v>
      </c>
      <c r="AB77" s="103">
        <f>(J77+K77+L77+M77+N77+O77)*E77</f>
        <v>0</v>
      </c>
      <c r="AC77" s="5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</row>
    <row r="78" spans="1:42" s="91" customFormat="1" ht="25.5">
      <c r="A78" s="39" t="s">
        <v>79</v>
      </c>
      <c r="B78" s="40" t="s">
        <v>80</v>
      </c>
      <c r="C78" s="63" t="s">
        <v>78</v>
      </c>
      <c r="D78" s="64">
        <v>1</v>
      </c>
      <c r="E78" s="65">
        <v>605.47</v>
      </c>
      <c r="F78" s="41">
        <f t="shared" si="47"/>
        <v>1</v>
      </c>
      <c r="G78" s="65">
        <v>492.25</v>
      </c>
      <c r="H78" s="66">
        <f>ROUND(D78*E78,2)</f>
        <v>605.47</v>
      </c>
      <c r="I78" s="235" t="s">
        <v>478</v>
      </c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>
        <f t="shared" si="48"/>
        <v>0</v>
      </c>
      <c r="U78" s="67">
        <f>D78-T78</f>
        <v>1</v>
      </c>
      <c r="V78" s="67">
        <f>U78*E78</f>
        <v>605.47</v>
      </c>
      <c r="W78" s="44">
        <f t="shared" ref="W78:W80" si="51">(SUM(J78:R78))/D78</f>
        <v>0</v>
      </c>
      <c r="X78" s="44">
        <f t="shared" si="49"/>
        <v>0</v>
      </c>
      <c r="Y78" s="45">
        <f t="shared" ref="Y78:Y81" si="52">W78+X78</f>
        <v>0</v>
      </c>
      <c r="Z78" s="103">
        <f>(J78+K78+L78+M78+N78)*E78</f>
        <v>0</v>
      </c>
      <c r="AA78" s="103">
        <f t="shared" si="50"/>
        <v>0</v>
      </c>
      <c r="AB78" s="103">
        <f>(J78+K78+L78+M78+N78+O78)*E78</f>
        <v>0</v>
      </c>
      <c r="AC78" s="5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</row>
    <row r="79" spans="1:42" s="91" customFormat="1" ht="25.5">
      <c r="A79" s="39" t="s">
        <v>81</v>
      </c>
      <c r="B79" s="40" t="s">
        <v>82</v>
      </c>
      <c r="C79" s="63" t="s">
        <v>78</v>
      </c>
      <c r="D79" s="64">
        <v>4</v>
      </c>
      <c r="E79" s="65">
        <v>219.76</v>
      </c>
      <c r="F79" s="41">
        <f t="shared" si="47"/>
        <v>4</v>
      </c>
      <c r="G79" s="65">
        <v>178.67</v>
      </c>
      <c r="H79" s="66">
        <f>ROUND(D79*E79,2)</f>
        <v>879.04</v>
      </c>
      <c r="I79" s="235" t="s">
        <v>477</v>
      </c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>
        <f t="shared" si="48"/>
        <v>0</v>
      </c>
      <c r="U79" s="67">
        <f>D79-T79</f>
        <v>4</v>
      </c>
      <c r="V79" s="67">
        <f>U79*E79</f>
        <v>879.04</v>
      </c>
      <c r="W79" s="44">
        <f t="shared" si="51"/>
        <v>0</v>
      </c>
      <c r="X79" s="44">
        <f t="shared" si="49"/>
        <v>0</v>
      </c>
      <c r="Y79" s="45">
        <f t="shared" si="52"/>
        <v>0</v>
      </c>
      <c r="Z79" s="103">
        <f>(J79+K79+L79+M79+N79)*E79</f>
        <v>0</v>
      </c>
      <c r="AA79" s="103">
        <f t="shared" si="50"/>
        <v>0</v>
      </c>
      <c r="AB79" s="103">
        <f>(J79+K79+L79+M79+N79+O79)*E79</f>
        <v>0</v>
      </c>
      <c r="AC79" s="5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</row>
    <row r="80" spans="1:42" s="91" customFormat="1" ht="25.5">
      <c r="A80" s="39" t="s">
        <v>83</v>
      </c>
      <c r="B80" s="40" t="s">
        <v>84</v>
      </c>
      <c r="C80" s="63" t="s">
        <v>78</v>
      </c>
      <c r="D80" s="64">
        <v>2</v>
      </c>
      <c r="E80" s="65">
        <v>249.28</v>
      </c>
      <c r="F80" s="41">
        <f t="shared" si="47"/>
        <v>2</v>
      </c>
      <c r="G80" s="65">
        <v>202.67</v>
      </c>
      <c r="H80" s="66">
        <f>ROUND(D80*E80,2)</f>
        <v>498.56</v>
      </c>
      <c r="I80" s="235" t="s">
        <v>479</v>
      </c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>
        <f t="shared" si="48"/>
        <v>0</v>
      </c>
      <c r="U80" s="67">
        <f>D80-T80</f>
        <v>2</v>
      </c>
      <c r="V80" s="67">
        <f>U80*E80</f>
        <v>498.56</v>
      </c>
      <c r="W80" s="44">
        <f t="shared" si="51"/>
        <v>0</v>
      </c>
      <c r="X80" s="44">
        <f t="shared" si="49"/>
        <v>0</v>
      </c>
      <c r="Y80" s="45">
        <f t="shared" si="52"/>
        <v>0</v>
      </c>
      <c r="Z80" s="103">
        <f>(J80+K80+L80+M80+N80)*E80</f>
        <v>0</v>
      </c>
      <c r="AA80" s="103">
        <f t="shared" si="50"/>
        <v>0</v>
      </c>
      <c r="AB80" s="103">
        <f>(J80+K80+L80+M80+N80+O80)*E80</f>
        <v>0</v>
      </c>
      <c r="AC80" s="5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</row>
    <row r="81" spans="1:42" s="91" customFormat="1">
      <c r="A81" s="229"/>
      <c r="B81" s="229"/>
      <c r="C81" s="229"/>
      <c r="D81" s="60"/>
      <c r="E81" s="65"/>
      <c r="F81" s="217"/>
      <c r="G81" s="65">
        <v>0</v>
      </c>
      <c r="H81" s="61"/>
      <c r="I81" s="231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>
        <f t="shared" si="48"/>
        <v>0</v>
      </c>
      <c r="U81" s="67"/>
      <c r="V81" s="67">
        <f>U81*E81</f>
        <v>0</v>
      </c>
      <c r="W81" s="44">
        <v>0</v>
      </c>
      <c r="X81" s="44">
        <f t="shared" si="49"/>
        <v>0</v>
      </c>
      <c r="Y81" s="45">
        <f t="shared" si="52"/>
        <v>0</v>
      </c>
      <c r="Z81" s="103">
        <f>(J81+K81+L81+M81)*E81</f>
        <v>0</v>
      </c>
      <c r="AA81" s="103">
        <f>Q81*E81</f>
        <v>0</v>
      </c>
      <c r="AB81" s="103">
        <f>(J81+K81+L81+M81+N81)*E81</f>
        <v>0</v>
      </c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</row>
    <row r="82" spans="1:42" s="93" customFormat="1" ht="19.5">
      <c r="A82" s="175">
        <v>8</v>
      </c>
      <c r="B82" s="33" t="s">
        <v>85</v>
      </c>
      <c r="C82" s="34"/>
      <c r="D82" s="35"/>
      <c r="E82" s="36">
        <v>0</v>
      </c>
      <c r="F82" s="36"/>
      <c r="G82" s="36">
        <v>0</v>
      </c>
      <c r="H82" s="37">
        <f>SUM(H83:H87)</f>
        <v>45301.78</v>
      </c>
      <c r="I82" s="50"/>
      <c r="J82" s="62"/>
      <c r="K82" s="62"/>
      <c r="L82" s="115"/>
      <c r="M82" s="62"/>
      <c r="N82" s="62"/>
      <c r="O82" s="62"/>
      <c r="P82" s="62"/>
      <c r="Q82" s="62"/>
      <c r="R82" s="115"/>
      <c r="S82" s="62"/>
      <c r="T82" s="62"/>
      <c r="U82" s="62"/>
      <c r="V82" s="37" t="e">
        <f>SUM(V83:V87)</f>
        <v>#REF!</v>
      </c>
      <c r="W82" s="38"/>
      <c r="X82" s="155"/>
      <c r="Y82" s="38"/>
      <c r="Z82" s="37">
        <f>SUM(Z83:Z87)</f>
        <v>22818.597200000004</v>
      </c>
      <c r="AA82" s="37" t="e">
        <f>SUM(AA83:AA87)</f>
        <v>#REF!</v>
      </c>
      <c r="AB82" s="37">
        <f>SUM(AB83:AB87)</f>
        <v>22818.597200000004</v>
      </c>
      <c r="AC82" s="251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</row>
    <row r="83" spans="1:42" ht="25.5">
      <c r="A83" s="219" t="s">
        <v>86</v>
      </c>
      <c r="B83" s="220" t="s">
        <v>87</v>
      </c>
      <c r="C83" s="219" t="s">
        <v>8</v>
      </c>
      <c r="D83" s="41">
        <v>397.48140000000001</v>
      </c>
      <c r="E83" s="42">
        <v>2.89</v>
      </c>
      <c r="F83" s="232"/>
      <c r="G83" s="42">
        <v>2.35</v>
      </c>
      <c r="H83" s="43">
        <f>ROUND(D83*E83,2)</f>
        <v>1148.72</v>
      </c>
      <c r="I83" s="191" t="s">
        <v>480</v>
      </c>
      <c r="J83" s="67">
        <v>397.48</v>
      </c>
      <c r="K83" s="67"/>
      <c r="L83" s="67"/>
      <c r="M83" s="67"/>
      <c r="N83" s="67"/>
      <c r="O83" s="67"/>
      <c r="P83" s="67"/>
      <c r="Q83" s="67"/>
      <c r="R83" s="67"/>
      <c r="S83" s="67"/>
      <c r="T83" s="67">
        <f t="shared" ref="T83:T88" si="53">SUM(J83:S83)</f>
        <v>397.48</v>
      </c>
      <c r="U83" s="67">
        <f>D83-T83</f>
        <v>1.3999999999896318E-3</v>
      </c>
      <c r="V83" s="67">
        <f t="shared" ref="V83:V88" si="54">U83*E83</f>
        <v>4.0459999999700362E-3</v>
      </c>
      <c r="W83" s="44">
        <f t="shared" ref="W83:W86" si="55">(SUM(J83:R83))/D83</f>
        <v>0.99999647782261014</v>
      </c>
      <c r="X83" s="44">
        <f t="shared" ref="X83:X88" si="56">IF(D83=0,0,S83/D83)</f>
        <v>0</v>
      </c>
      <c r="Y83" s="45">
        <f t="shared" ref="Y83:Y88" si="57">W83+X83</f>
        <v>0.99999647782261014</v>
      </c>
      <c r="Z83" s="103">
        <f>(J83+K83+L83+M83+N83)*E83</f>
        <v>1148.7172</v>
      </c>
      <c r="AA83" s="103">
        <f>S83*G83</f>
        <v>0</v>
      </c>
      <c r="AB83" s="103">
        <f>(J83+K83+L83+M83+N83+O83)*E83</f>
        <v>1148.7172</v>
      </c>
      <c r="AC83" s="5"/>
    </row>
    <row r="84" spans="1:42" ht="25.5">
      <c r="A84" s="39" t="s">
        <v>88</v>
      </c>
      <c r="B84" s="40" t="s">
        <v>89</v>
      </c>
      <c r="C84" s="39" t="s">
        <v>8</v>
      </c>
      <c r="D84" s="41">
        <v>409.1</v>
      </c>
      <c r="E84" s="42">
        <v>22.8</v>
      </c>
      <c r="F84" s="42"/>
      <c r="G84" s="42">
        <v>18.54</v>
      </c>
      <c r="H84" s="43">
        <f>ROUND(D84*E84,2)</f>
        <v>9327.48</v>
      </c>
      <c r="I84" s="191" t="s">
        <v>481</v>
      </c>
      <c r="J84" s="67">
        <v>409.1</v>
      </c>
      <c r="K84" s="67"/>
      <c r="L84" s="67"/>
      <c r="M84" s="67"/>
      <c r="N84" s="67"/>
      <c r="O84" s="67"/>
      <c r="P84" s="67"/>
      <c r="Q84" s="67"/>
      <c r="R84" s="67"/>
      <c r="S84" s="67"/>
      <c r="T84" s="67">
        <f t="shared" si="53"/>
        <v>409.1</v>
      </c>
      <c r="U84" s="67">
        <f>D84-T84</f>
        <v>0</v>
      </c>
      <c r="V84" s="67">
        <f t="shared" si="54"/>
        <v>0</v>
      </c>
      <c r="W84" s="44">
        <f t="shared" si="55"/>
        <v>1</v>
      </c>
      <c r="X84" s="44">
        <f t="shared" si="56"/>
        <v>0</v>
      </c>
      <c r="Y84" s="45">
        <f t="shared" si="57"/>
        <v>1</v>
      </c>
      <c r="Z84" s="103">
        <f>(J84+K84+L84+M84+N84)*E84</f>
        <v>9327.4800000000014</v>
      </c>
      <c r="AA84" s="103">
        <f>Q84*E84</f>
        <v>0</v>
      </c>
      <c r="AB84" s="103">
        <f>(J84+K84+L84+M84+N84+O84)*E84</f>
        <v>9327.4800000000014</v>
      </c>
      <c r="AC84" s="5"/>
    </row>
    <row r="85" spans="1:42" s="91" customFormat="1" ht="25.5">
      <c r="A85" s="209" t="s">
        <v>90</v>
      </c>
      <c r="B85" s="210" t="s">
        <v>91</v>
      </c>
      <c r="C85" s="211" t="s">
        <v>8</v>
      </c>
      <c r="D85" s="64">
        <v>551</v>
      </c>
      <c r="E85" s="65">
        <v>22.4</v>
      </c>
      <c r="F85" s="207"/>
      <c r="G85" s="65">
        <v>18.21</v>
      </c>
      <c r="H85" s="66">
        <f>ROUND(D85*E85,2)</f>
        <v>12342.4</v>
      </c>
      <c r="I85" s="191" t="s">
        <v>482</v>
      </c>
      <c r="J85" s="67"/>
      <c r="K85" s="67">
        <v>551</v>
      </c>
      <c r="L85" s="67"/>
      <c r="M85" s="67"/>
      <c r="N85" s="67"/>
      <c r="O85" s="67"/>
      <c r="P85" s="67"/>
      <c r="Q85" s="67"/>
      <c r="R85" s="67"/>
      <c r="S85" s="67"/>
      <c r="T85" s="67">
        <f t="shared" si="53"/>
        <v>551</v>
      </c>
      <c r="U85" s="67">
        <f>D85-T85</f>
        <v>0</v>
      </c>
      <c r="V85" s="67">
        <f t="shared" si="54"/>
        <v>0</v>
      </c>
      <c r="W85" s="44">
        <f t="shared" si="55"/>
        <v>1</v>
      </c>
      <c r="X85" s="44">
        <f t="shared" si="56"/>
        <v>0</v>
      </c>
      <c r="Y85" s="45">
        <f t="shared" si="57"/>
        <v>1</v>
      </c>
      <c r="Z85" s="103">
        <f>(J85+K85+L85+M85+N85)*E85</f>
        <v>12342.4</v>
      </c>
      <c r="AA85" s="103">
        <f>Q85*E85</f>
        <v>0</v>
      </c>
      <c r="AB85" s="103">
        <f>(J85+K85+L85+M85+N85+O85)*E85</f>
        <v>12342.4</v>
      </c>
      <c r="AC85" s="5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</row>
    <row r="86" spans="1:42" s="91" customFormat="1" ht="25.5">
      <c r="A86" s="39" t="s">
        <v>92</v>
      </c>
      <c r="B86" s="40" t="s">
        <v>93</v>
      </c>
      <c r="C86" s="63" t="s">
        <v>8</v>
      </c>
      <c r="D86" s="64">
        <v>328</v>
      </c>
      <c r="E86" s="65">
        <v>51.09</v>
      </c>
      <c r="F86" s="41">
        <f t="shared" ref="F86:F87" si="58">U86</f>
        <v>328</v>
      </c>
      <c r="G86" s="65">
        <v>41.54</v>
      </c>
      <c r="H86" s="66">
        <f>ROUND(D86*E86,2)</f>
        <v>16757.52</v>
      </c>
      <c r="I86" s="235" t="s">
        <v>484</v>
      </c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>
        <f t="shared" si="53"/>
        <v>0</v>
      </c>
      <c r="U86" s="67">
        <f>D86-T86</f>
        <v>328</v>
      </c>
      <c r="V86" s="67">
        <f t="shared" si="54"/>
        <v>16757.52</v>
      </c>
      <c r="W86" s="44">
        <f t="shared" si="55"/>
        <v>0</v>
      </c>
      <c r="X86" s="44">
        <f t="shared" si="56"/>
        <v>0</v>
      </c>
      <c r="Y86" s="45">
        <f t="shared" si="57"/>
        <v>0</v>
      </c>
      <c r="Z86" s="103">
        <f>(J86+K86+L86+M86+N86)*E86</f>
        <v>0</v>
      </c>
      <c r="AA86" s="103">
        <f t="shared" ref="AA86:AA87" si="59">S86*G86</f>
        <v>0</v>
      </c>
      <c r="AB86" s="103">
        <f>(J86+K86+L86+M86+N86+O86)*E86</f>
        <v>0</v>
      </c>
      <c r="AC86" s="5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</row>
    <row r="87" spans="1:42" s="91" customFormat="1" ht="25.5">
      <c r="A87" s="39" t="s">
        <v>94</v>
      </c>
      <c r="B87" s="40" t="s">
        <v>95</v>
      </c>
      <c r="C87" s="63" t="s">
        <v>8</v>
      </c>
      <c r="D87" s="64">
        <v>81.099999999999994</v>
      </c>
      <c r="E87" s="65">
        <v>70.599999999999994</v>
      </c>
      <c r="F87" s="41" t="e">
        <f t="shared" si="58"/>
        <v>#REF!</v>
      </c>
      <c r="G87" s="65">
        <v>57.4</v>
      </c>
      <c r="H87" s="66">
        <f>ROUND(D87*E87,2)</f>
        <v>5725.66</v>
      </c>
      <c r="I87" s="235" t="s">
        <v>483</v>
      </c>
      <c r="J87" s="67"/>
      <c r="K87" s="67"/>
      <c r="L87" s="67"/>
      <c r="M87" s="67"/>
      <c r="N87" s="67"/>
      <c r="O87" s="67"/>
      <c r="P87" s="67"/>
      <c r="Q87" s="67"/>
      <c r="R87" s="67"/>
      <c r="S87" s="67" t="e">
        <f>#REF!</f>
        <v>#REF!</v>
      </c>
      <c r="T87" s="67" t="e">
        <f t="shared" si="53"/>
        <v>#REF!</v>
      </c>
      <c r="U87" s="67" t="e">
        <f>D87-T87</f>
        <v>#REF!</v>
      </c>
      <c r="V87" s="67" t="e">
        <f t="shared" si="54"/>
        <v>#REF!</v>
      </c>
      <c r="W87" s="44">
        <f>(SUM(J87:R87))/D87</f>
        <v>0</v>
      </c>
      <c r="X87" s="44" t="e">
        <f t="shared" si="56"/>
        <v>#REF!</v>
      </c>
      <c r="Y87" s="45" t="e">
        <f t="shared" si="57"/>
        <v>#REF!</v>
      </c>
      <c r="Z87" s="103">
        <f>(J87+K87+L87+M87+N87)*E87</f>
        <v>0</v>
      </c>
      <c r="AA87" s="103" t="e">
        <f t="shared" si="59"/>
        <v>#REF!</v>
      </c>
      <c r="AB87" s="103">
        <f>(J87+K87+L87+M87+N87+O87)*E87</f>
        <v>0</v>
      </c>
      <c r="AC87" s="252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</row>
    <row r="88" spans="1:42" s="91" customFormat="1">
      <c r="A88" s="229"/>
      <c r="B88" s="229"/>
      <c r="C88" s="229"/>
      <c r="D88" s="60"/>
      <c r="E88" s="65">
        <v>0</v>
      </c>
      <c r="F88" s="217"/>
      <c r="G88" s="65">
        <v>0</v>
      </c>
      <c r="H88" s="61"/>
      <c r="I88" s="23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67">
        <f t="shared" si="53"/>
        <v>0</v>
      </c>
      <c r="U88" s="81"/>
      <c r="V88" s="67">
        <f t="shared" si="54"/>
        <v>0</v>
      </c>
      <c r="W88" s="44">
        <v>0</v>
      </c>
      <c r="X88" s="44">
        <f t="shared" si="56"/>
        <v>0</v>
      </c>
      <c r="Y88" s="45">
        <f t="shared" si="57"/>
        <v>0</v>
      </c>
      <c r="Z88" s="103">
        <f>(J88+K88+L88+M88)*E88</f>
        <v>0</v>
      </c>
      <c r="AA88" s="103">
        <f>Q88*E88</f>
        <v>0</v>
      </c>
      <c r="AB88" s="103">
        <f>(J88+K88+L88+M88+N88)*E88</f>
        <v>0</v>
      </c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</row>
    <row r="89" spans="1:42" s="93" customFormat="1" ht="19.5">
      <c r="A89" s="175">
        <v>9</v>
      </c>
      <c r="B89" s="33" t="s">
        <v>96</v>
      </c>
      <c r="C89" s="34"/>
      <c r="D89" s="35"/>
      <c r="E89" s="36">
        <v>0</v>
      </c>
      <c r="F89" s="36"/>
      <c r="G89" s="36">
        <v>0</v>
      </c>
      <c r="H89" s="37">
        <f>SUM(H90:H94)</f>
        <v>74552.73000000001</v>
      </c>
      <c r="I89" s="50"/>
      <c r="J89" s="62"/>
      <c r="K89" s="62"/>
      <c r="L89" s="115"/>
      <c r="M89" s="62"/>
      <c r="N89" s="62"/>
      <c r="O89" s="62"/>
      <c r="P89" s="62"/>
      <c r="Q89" s="62"/>
      <c r="R89" s="115"/>
      <c r="S89" s="62"/>
      <c r="T89" s="62"/>
      <c r="U89" s="62"/>
      <c r="V89" s="37" t="e">
        <f>SUM(V90:V94)</f>
        <v>#REF!</v>
      </c>
      <c r="W89" s="38"/>
      <c r="X89" s="155"/>
      <c r="Y89" s="38"/>
      <c r="Z89" s="37">
        <f>SUM(Z90:Z94)</f>
        <v>12809.636</v>
      </c>
      <c r="AA89" s="37" t="e">
        <f>SUM(AA90:AA94)</f>
        <v>#REF!</v>
      </c>
      <c r="AB89" s="37">
        <f>SUM(AB90:AB94)</f>
        <v>12809.636</v>
      </c>
      <c r="AC89" s="251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</row>
    <row r="90" spans="1:42" ht="15">
      <c r="A90" s="145" t="s">
        <v>97</v>
      </c>
      <c r="B90" s="215" t="s">
        <v>98</v>
      </c>
      <c r="C90" s="145" t="s">
        <v>8</v>
      </c>
      <c r="D90" s="41">
        <v>633.20000000000005</v>
      </c>
      <c r="E90" s="42">
        <v>20.23</v>
      </c>
      <c r="F90" s="227"/>
      <c r="G90" s="42">
        <v>16.45</v>
      </c>
      <c r="H90" s="43">
        <f>ROUND(D90*E90,2)</f>
        <v>12809.64</v>
      </c>
      <c r="I90" s="191" t="s">
        <v>485</v>
      </c>
      <c r="J90" s="67">
        <v>633.20000000000005</v>
      </c>
      <c r="K90" s="67"/>
      <c r="L90" s="67"/>
      <c r="M90" s="67"/>
      <c r="N90" s="67"/>
      <c r="O90" s="67"/>
      <c r="P90" s="67"/>
      <c r="Q90" s="67"/>
      <c r="R90" s="67"/>
      <c r="S90" s="67"/>
      <c r="T90" s="67">
        <f t="shared" ref="T90:T95" si="60">SUM(J90:S90)</f>
        <v>633.20000000000005</v>
      </c>
      <c r="U90" s="67">
        <f>D90-T90</f>
        <v>0</v>
      </c>
      <c r="V90" s="67">
        <f t="shared" ref="V90:V95" si="61">U90*E90</f>
        <v>0</v>
      </c>
      <c r="W90" s="44">
        <f t="shared" ref="W90:W94" si="62">(SUM(J90:R90))/D90</f>
        <v>1</v>
      </c>
      <c r="X90" s="44">
        <f t="shared" ref="X90:X95" si="63">IF(D90=0,0,S90/D90)</f>
        <v>0</v>
      </c>
      <c r="Y90" s="45">
        <f t="shared" ref="Y90:Y95" si="64">W90+X90</f>
        <v>1</v>
      </c>
      <c r="Z90" s="103">
        <f>(J90+K90+L90+M90+N90)*E90</f>
        <v>12809.636</v>
      </c>
      <c r="AA90" s="103">
        <f>Q90*E90</f>
        <v>0</v>
      </c>
      <c r="AB90" s="103">
        <f>(J90+K90+L90+M90+N90+O90)*E90</f>
        <v>12809.636</v>
      </c>
      <c r="AC90" s="5"/>
    </row>
    <row r="91" spans="1:42" s="91" customFormat="1" ht="25.5">
      <c r="A91" s="39" t="s">
        <v>99</v>
      </c>
      <c r="B91" s="40" t="s">
        <v>100</v>
      </c>
      <c r="C91" s="63" t="s">
        <v>8</v>
      </c>
      <c r="D91" s="64">
        <v>633.20000000000005</v>
      </c>
      <c r="E91" s="65">
        <v>70.25</v>
      </c>
      <c r="F91" s="41">
        <f t="shared" ref="F91:F94" si="65">U91</f>
        <v>633.20000000000005</v>
      </c>
      <c r="G91" s="65">
        <v>57.11</v>
      </c>
      <c r="H91" s="66">
        <f>ROUND(D91*E91,2)</f>
        <v>44482.3</v>
      </c>
      <c r="I91" s="182" t="s">
        <v>446</v>
      </c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>
        <f t="shared" si="60"/>
        <v>0</v>
      </c>
      <c r="U91" s="67">
        <f>D91-T91</f>
        <v>633.20000000000005</v>
      </c>
      <c r="V91" s="67">
        <f t="shared" si="61"/>
        <v>44482.3</v>
      </c>
      <c r="W91" s="44">
        <f t="shared" si="62"/>
        <v>0</v>
      </c>
      <c r="X91" s="44">
        <f t="shared" si="63"/>
        <v>0</v>
      </c>
      <c r="Y91" s="45">
        <f t="shared" si="64"/>
        <v>0</v>
      </c>
      <c r="Z91" s="103">
        <f>(J91+K91+L91+M91+N91)*E91</f>
        <v>0</v>
      </c>
      <c r="AA91" s="103">
        <f t="shared" ref="AA91:AA94" si="66">S91*G91</f>
        <v>0</v>
      </c>
      <c r="AB91" s="103">
        <f>(J91+K91+L91+M91+N91+O91)*E91</f>
        <v>0</v>
      </c>
      <c r="AC91" s="5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</row>
    <row r="92" spans="1:42" s="91" customFormat="1" ht="25.5">
      <c r="A92" s="39" t="s">
        <v>101</v>
      </c>
      <c r="B92" s="40" t="s">
        <v>102</v>
      </c>
      <c r="C92" s="63" t="s">
        <v>8</v>
      </c>
      <c r="D92" s="64">
        <v>195.4</v>
      </c>
      <c r="E92" s="65">
        <v>53.19</v>
      </c>
      <c r="F92" s="41" t="e">
        <f t="shared" si="65"/>
        <v>#REF!</v>
      </c>
      <c r="G92" s="65">
        <v>43.24</v>
      </c>
      <c r="H92" s="66">
        <f>ROUND(D92*E92,2)</f>
        <v>10393.33</v>
      </c>
      <c r="I92" s="182" t="s">
        <v>446</v>
      </c>
      <c r="J92" s="67"/>
      <c r="K92" s="67"/>
      <c r="L92" s="67"/>
      <c r="M92" s="67"/>
      <c r="N92" s="67"/>
      <c r="O92" s="67"/>
      <c r="P92" s="67"/>
      <c r="Q92" s="67"/>
      <c r="R92" s="67"/>
      <c r="S92" s="67" t="e">
        <f>#REF!</f>
        <v>#REF!</v>
      </c>
      <c r="T92" s="67" t="e">
        <f t="shared" si="60"/>
        <v>#REF!</v>
      </c>
      <c r="U92" s="67" t="e">
        <f>D92-T92</f>
        <v>#REF!</v>
      </c>
      <c r="V92" s="67" t="e">
        <f t="shared" si="61"/>
        <v>#REF!</v>
      </c>
      <c r="W92" s="44">
        <f>(SUM(J92:R92))/D92</f>
        <v>0</v>
      </c>
      <c r="X92" s="44" t="e">
        <f t="shared" si="63"/>
        <v>#REF!</v>
      </c>
      <c r="Y92" s="45" t="e">
        <f t="shared" si="64"/>
        <v>#REF!</v>
      </c>
      <c r="Z92" s="103">
        <f>(J92+K92+L92+M92+N92)*E92</f>
        <v>0</v>
      </c>
      <c r="AA92" s="103" t="e">
        <f t="shared" si="66"/>
        <v>#REF!</v>
      </c>
      <c r="AB92" s="103">
        <f>(J92+K92+L92+M92+N92+O92)*E92</f>
        <v>0</v>
      </c>
      <c r="AC92" s="252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</row>
    <row r="93" spans="1:42" s="91" customFormat="1" ht="36.75" customHeight="1">
      <c r="A93" s="39" t="s">
        <v>103</v>
      </c>
      <c r="B93" s="40" t="s">
        <v>104</v>
      </c>
      <c r="C93" s="63" t="s">
        <v>105</v>
      </c>
      <c r="D93" s="64">
        <v>627.04999999999995</v>
      </c>
      <c r="E93" s="65">
        <v>7.6</v>
      </c>
      <c r="F93" s="41">
        <f t="shared" si="65"/>
        <v>627.04999999999995</v>
      </c>
      <c r="G93" s="65">
        <v>6.18</v>
      </c>
      <c r="H93" s="66">
        <f>ROUND(D93*E93,2)</f>
        <v>4765.58</v>
      </c>
      <c r="I93" s="235" t="s">
        <v>486</v>
      </c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>
        <f t="shared" si="60"/>
        <v>0</v>
      </c>
      <c r="U93" s="67">
        <f>D93-T93</f>
        <v>627.04999999999995</v>
      </c>
      <c r="V93" s="67">
        <f t="shared" si="61"/>
        <v>4765.579999999999</v>
      </c>
      <c r="W93" s="44">
        <f t="shared" si="62"/>
        <v>0</v>
      </c>
      <c r="X93" s="44">
        <f t="shared" si="63"/>
        <v>0</v>
      </c>
      <c r="Y93" s="45">
        <f t="shared" si="64"/>
        <v>0</v>
      </c>
      <c r="Z93" s="103">
        <f>(J93+K93+L93+M93+N93)*E93</f>
        <v>0</v>
      </c>
      <c r="AA93" s="103">
        <f t="shared" si="66"/>
        <v>0</v>
      </c>
      <c r="AB93" s="103">
        <f>(J93+K93+L93+M93+N93+O93)*E93</f>
        <v>0</v>
      </c>
      <c r="AC93" s="5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</row>
    <row r="94" spans="1:42" s="91" customFormat="1" ht="24" customHeight="1">
      <c r="A94" s="39" t="s">
        <v>106</v>
      </c>
      <c r="B94" s="40" t="s">
        <v>107</v>
      </c>
      <c r="C94" s="63" t="s">
        <v>8</v>
      </c>
      <c r="D94" s="64">
        <v>62.5</v>
      </c>
      <c r="E94" s="65">
        <v>33.630000000000003</v>
      </c>
      <c r="F94" s="41">
        <f t="shared" si="65"/>
        <v>62.5</v>
      </c>
      <c r="G94" s="65">
        <v>27.34</v>
      </c>
      <c r="H94" s="66">
        <f>ROUND(D94*E94,2)</f>
        <v>2101.88</v>
      </c>
      <c r="I94" s="235" t="s">
        <v>487</v>
      </c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>
        <f t="shared" si="60"/>
        <v>0</v>
      </c>
      <c r="U94" s="67">
        <f>D94-T94</f>
        <v>62.5</v>
      </c>
      <c r="V94" s="67">
        <f t="shared" si="61"/>
        <v>2101.875</v>
      </c>
      <c r="W94" s="44">
        <f t="shared" si="62"/>
        <v>0</v>
      </c>
      <c r="X94" s="44">
        <f t="shared" si="63"/>
        <v>0</v>
      </c>
      <c r="Y94" s="45">
        <f t="shared" si="64"/>
        <v>0</v>
      </c>
      <c r="Z94" s="103">
        <f>(J94+K94+L94+M94+N94)*E94</f>
        <v>0</v>
      </c>
      <c r="AA94" s="103">
        <f t="shared" si="66"/>
        <v>0</v>
      </c>
      <c r="AB94" s="103">
        <f>(J94+K94+L94+M94+N94+O94)*E94</f>
        <v>0</v>
      </c>
      <c r="AC94" s="5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</row>
    <row r="95" spans="1:42" s="91" customFormat="1">
      <c r="A95" s="229"/>
      <c r="B95" s="229"/>
      <c r="C95" s="229"/>
      <c r="D95" s="60"/>
      <c r="E95" s="65"/>
      <c r="F95" s="217"/>
      <c r="G95" s="65">
        <v>0</v>
      </c>
      <c r="H95" s="61"/>
      <c r="I95" s="23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67">
        <f t="shared" si="60"/>
        <v>0</v>
      </c>
      <c r="U95" s="81"/>
      <c r="V95" s="67">
        <f t="shared" si="61"/>
        <v>0</v>
      </c>
      <c r="W95" s="44">
        <v>0</v>
      </c>
      <c r="X95" s="44">
        <f t="shared" si="63"/>
        <v>0</v>
      </c>
      <c r="Y95" s="45">
        <f t="shared" si="64"/>
        <v>0</v>
      </c>
      <c r="Z95" s="103">
        <f>(J95+K95+L95+M95)*E95</f>
        <v>0</v>
      </c>
      <c r="AA95" s="103">
        <f>Q95*E95</f>
        <v>0</v>
      </c>
      <c r="AB95" s="103">
        <f>(J95+K95+L95+M95+N95)*E95</f>
        <v>0</v>
      </c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</row>
    <row r="96" spans="1:42" s="95" customFormat="1" ht="19.5">
      <c r="A96" s="175">
        <v>10</v>
      </c>
      <c r="B96" s="33" t="s">
        <v>108</v>
      </c>
      <c r="C96" s="34"/>
      <c r="D96" s="68"/>
      <c r="E96" s="69">
        <v>0</v>
      </c>
      <c r="F96" s="69"/>
      <c r="G96" s="69">
        <v>0</v>
      </c>
      <c r="H96" s="70">
        <f>SUM(H97:H104)</f>
        <v>89641.659999999989</v>
      </c>
      <c r="I96" s="189"/>
      <c r="J96" s="62"/>
      <c r="K96" s="62"/>
      <c r="L96" s="115"/>
      <c r="M96" s="62"/>
      <c r="N96" s="62"/>
      <c r="O96" s="62"/>
      <c r="P96" s="62"/>
      <c r="Q96" s="62"/>
      <c r="R96" s="115"/>
      <c r="S96" s="62"/>
      <c r="T96" s="62"/>
      <c r="U96" s="62"/>
      <c r="V96" s="70" t="e">
        <f>SUM(V97:V104)</f>
        <v>#REF!</v>
      </c>
      <c r="W96" s="62"/>
      <c r="X96" s="155"/>
      <c r="Y96" s="78">
        <f>J96</f>
        <v>0</v>
      </c>
      <c r="Z96" s="70">
        <f>SUM(Z97:Z104)</f>
        <v>33724.746200000001</v>
      </c>
      <c r="AA96" s="70" t="e">
        <f>SUM(AA97:AA104)</f>
        <v>#REF!</v>
      </c>
      <c r="AB96" s="70">
        <f>SUM(AB97:AB104)</f>
        <v>40028.281600000002</v>
      </c>
      <c r="AC96" s="253" t="e">
        <f>AA96</f>
        <v>#REF!</v>
      </c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</row>
    <row r="97" spans="1:42" s="91" customFormat="1">
      <c r="A97" s="39" t="s">
        <v>109</v>
      </c>
      <c r="B97" s="40" t="s">
        <v>110</v>
      </c>
      <c r="C97" s="63" t="s">
        <v>8</v>
      </c>
      <c r="D97" s="64">
        <v>847.2</v>
      </c>
      <c r="E97" s="65">
        <v>2.94</v>
      </c>
      <c r="F97" s="41" t="e">
        <f t="shared" ref="F97:F104" si="67">U97</f>
        <v>#REF!</v>
      </c>
      <c r="G97" s="65">
        <v>2.39</v>
      </c>
      <c r="H97" s="66">
        <f t="shared" ref="H97:H104" si="68">ROUND(D97*E97,2)</f>
        <v>2490.77</v>
      </c>
      <c r="I97" s="235" t="s">
        <v>488</v>
      </c>
      <c r="J97" s="67"/>
      <c r="K97" s="67"/>
      <c r="L97" s="67"/>
      <c r="M97" s="67"/>
      <c r="N97" s="67"/>
      <c r="O97" s="67"/>
      <c r="P97" s="67"/>
      <c r="Q97" s="67"/>
      <c r="R97" s="67"/>
      <c r="S97" s="67" t="e">
        <f>#REF!</f>
        <v>#REF!</v>
      </c>
      <c r="T97" s="67" t="e">
        <f t="shared" ref="T97:T105" si="69">SUM(J97:S97)</f>
        <v>#REF!</v>
      </c>
      <c r="U97" s="67" t="e">
        <f t="shared" ref="U97:U104" si="70">D97-T97</f>
        <v>#REF!</v>
      </c>
      <c r="V97" s="67" t="e">
        <f t="shared" ref="V97:V105" si="71">U97*E97</f>
        <v>#REF!</v>
      </c>
      <c r="W97" s="44">
        <f t="shared" ref="W97:W104" si="72">(SUM(J97:R97))/D97</f>
        <v>0</v>
      </c>
      <c r="X97" s="44" t="e">
        <f t="shared" ref="X97:X105" si="73">IF(D97=0,0,S97/D97)</f>
        <v>#REF!</v>
      </c>
      <c r="Y97" s="45" t="e">
        <f t="shared" ref="Y97:Y105" si="74">W97+X97</f>
        <v>#REF!</v>
      </c>
      <c r="Z97" s="103">
        <f>(J97+K97+L97+M97+N97)*E97</f>
        <v>0</v>
      </c>
      <c r="AA97" s="103" t="e">
        <f t="shared" ref="AA97:AA104" si="75">S97*G97</f>
        <v>#REF!</v>
      </c>
      <c r="AB97" s="103">
        <f>(J97+K97+L97+M97+N97+O97)*E97</f>
        <v>0</v>
      </c>
      <c r="AC97" s="5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</row>
    <row r="98" spans="1:42" s="91" customFormat="1">
      <c r="A98" s="39" t="s">
        <v>111</v>
      </c>
      <c r="B98" s="40" t="s">
        <v>112</v>
      </c>
      <c r="C98" s="63" t="s">
        <v>105</v>
      </c>
      <c r="D98" s="64">
        <v>360</v>
      </c>
      <c r="E98" s="65">
        <v>8.6</v>
      </c>
      <c r="F98" s="41">
        <f t="shared" si="67"/>
        <v>360</v>
      </c>
      <c r="G98" s="65">
        <v>6.99</v>
      </c>
      <c r="H98" s="66">
        <f t="shared" si="68"/>
        <v>3096</v>
      </c>
      <c r="I98" s="236" t="s">
        <v>489</v>
      </c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>
        <f t="shared" si="69"/>
        <v>0</v>
      </c>
      <c r="U98" s="67">
        <f t="shared" si="70"/>
        <v>360</v>
      </c>
      <c r="V98" s="67">
        <f t="shared" si="71"/>
        <v>3096</v>
      </c>
      <c r="W98" s="44">
        <f t="shared" si="72"/>
        <v>0</v>
      </c>
      <c r="X98" s="44">
        <f t="shared" si="73"/>
        <v>0</v>
      </c>
      <c r="Y98" s="45">
        <f t="shared" si="74"/>
        <v>0</v>
      </c>
      <c r="Z98" s="103">
        <f>(J98+K98+L98+M98+N98)*E98</f>
        <v>0</v>
      </c>
      <c r="AA98" s="103">
        <f t="shared" si="75"/>
        <v>0</v>
      </c>
      <c r="AB98" s="103">
        <f>(J98+K98+L98+M98+N98+O98)*E98</f>
        <v>0</v>
      </c>
      <c r="AC98" s="5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</row>
    <row r="99" spans="1:42" s="91" customFormat="1" ht="26.25" customHeight="1">
      <c r="A99" s="39" t="s">
        <v>113</v>
      </c>
      <c r="B99" s="40" t="s">
        <v>114</v>
      </c>
      <c r="C99" s="63" t="s">
        <v>8</v>
      </c>
      <c r="D99" s="64">
        <v>88.6</v>
      </c>
      <c r="E99" s="65">
        <v>12.95</v>
      </c>
      <c r="F99" s="41">
        <f t="shared" si="67"/>
        <v>88.6</v>
      </c>
      <c r="G99" s="65">
        <v>10.53</v>
      </c>
      <c r="H99" s="66">
        <f t="shared" si="68"/>
        <v>1147.3699999999999</v>
      </c>
      <c r="I99" s="235" t="s">
        <v>490</v>
      </c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>
        <f t="shared" si="69"/>
        <v>0</v>
      </c>
      <c r="U99" s="67">
        <f t="shared" si="70"/>
        <v>88.6</v>
      </c>
      <c r="V99" s="67">
        <f t="shared" si="71"/>
        <v>1147.3699999999999</v>
      </c>
      <c r="W99" s="44">
        <f t="shared" si="72"/>
        <v>0</v>
      </c>
      <c r="X99" s="44">
        <f t="shared" si="73"/>
        <v>0</v>
      </c>
      <c r="Y99" s="45">
        <f t="shared" si="74"/>
        <v>0</v>
      </c>
      <c r="Z99" s="103">
        <f>(J99+K99+L99+M99+N99)*E99</f>
        <v>0</v>
      </c>
      <c r="AA99" s="103">
        <f t="shared" si="75"/>
        <v>0</v>
      </c>
      <c r="AB99" s="103">
        <f>(J99+K99+L99+M99+N99+O99)*E99</f>
        <v>0</v>
      </c>
      <c r="AC99" s="5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</row>
    <row r="100" spans="1:42" s="91" customFormat="1" ht="25.5">
      <c r="A100" s="39" t="s">
        <v>115</v>
      </c>
      <c r="B100" s="40" t="s">
        <v>116</v>
      </c>
      <c r="C100" s="63" t="s">
        <v>8</v>
      </c>
      <c r="D100" s="64">
        <v>1114</v>
      </c>
      <c r="E100" s="65">
        <v>30.54</v>
      </c>
      <c r="F100" s="41">
        <f t="shared" si="67"/>
        <v>0</v>
      </c>
      <c r="G100" s="65">
        <v>24.83</v>
      </c>
      <c r="H100" s="66">
        <f t="shared" si="68"/>
        <v>34021.56</v>
      </c>
      <c r="I100" s="235" t="s">
        <v>491</v>
      </c>
      <c r="J100" s="67"/>
      <c r="K100" s="67"/>
      <c r="L100" s="67"/>
      <c r="M100" s="67"/>
      <c r="N100" s="67">
        <v>318.29000000000002</v>
      </c>
      <c r="O100" s="67">
        <v>159.13999999999999</v>
      </c>
      <c r="P100" s="67"/>
      <c r="Q100" s="67">
        <v>373.99</v>
      </c>
      <c r="R100" s="67">
        <v>159.13999999999999</v>
      </c>
      <c r="S100" s="67">
        <v>103.44</v>
      </c>
      <c r="T100" s="67">
        <f t="shared" si="69"/>
        <v>1114</v>
      </c>
      <c r="U100" s="67">
        <f t="shared" si="70"/>
        <v>0</v>
      </c>
      <c r="V100" s="67">
        <f t="shared" si="71"/>
        <v>0</v>
      </c>
      <c r="W100" s="44">
        <f t="shared" si="72"/>
        <v>0.90714542190305214</v>
      </c>
      <c r="X100" s="44">
        <f t="shared" si="73"/>
        <v>9.2854578096947929E-2</v>
      </c>
      <c r="Y100" s="45">
        <f>W100+X100</f>
        <v>1</v>
      </c>
      <c r="Z100" s="103">
        <f>(J100+K100+L100+M100+N100+O100+P100+Q100)*E100</f>
        <v>26002.3668</v>
      </c>
      <c r="AA100" s="103">
        <f>S100*E100</f>
        <v>3159.0575999999996</v>
      </c>
      <c r="AB100" s="103">
        <f>(J100+K100+L100+M100+N100+O100+P100+Q100+R100)*E100</f>
        <v>30862.502400000001</v>
      </c>
      <c r="AC100" s="5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</row>
    <row r="101" spans="1:42" s="91" customFormat="1" ht="25.5">
      <c r="A101" s="39" t="s">
        <v>117</v>
      </c>
      <c r="B101" s="40" t="s">
        <v>118</v>
      </c>
      <c r="C101" s="63" t="s">
        <v>8</v>
      </c>
      <c r="D101" s="64">
        <v>1114</v>
      </c>
      <c r="E101" s="65">
        <v>9.07</v>
      </c>
      <c r="F101" s="41">
        <f t="shared" si="67"/>
        <v>0</v>
      </c>
      <c r="G101" s="65">
        <v>7.37</v>
      </c>
      <c r="H101" s="66">
        <f t="shared" si="68"/>
        <v>10103.98</v>
      </c>
      <c r="I101" s="235" t="s">
        <v>492</v>
      </c>
      <c r="J101" s="67"/>
      <c r="K101" s="67"/>
      <c r="L101" s="67"/>
      <c r="M101" s="67"/>
      <c r="N101" s="67">
        <v>318.29000000000002</v>
      </c>
      <c r="O101" s="67">
        <v>159.13999999999999</v>
      </c>
      <c r="P101" s="67"/>
      <c r="Q101" s="67">
        <v>373.99</v>
      </c>
      <c r="R101" s="67">
        <v>159.13999999999999</v>
      </c>
      <c r="S101" s="67">
        <v>103.44</v>
      </c>
      <c r="T101" s="67">
        <f t="shared" si="69"/>
        <v>1114</v>
      </c>
      <c r="U101" s="67">
        <f t="shared" si="70"/>
        <v>0</v>
      </c>
      <c r="V101" s="67">
        <f t="shared" si="71"/>
        <v>0</v>
      </c>
      <c r="W101" s="44">
        <f t="shared" si="72"/>
        <v>0.90714542190305214</v>
      </c>
      <c r="X101" s="44">
        <f t="shared" si="73"/>
        <v>9.2854578096947929E-2</v>
      </c>
      <c r="Y101" s="45">
        <f>W101+X101</f>
        <v>1</v>
      </c>
      <c r="Z101" s="103">
        <f>(J101+K101+L101+M101+N101+O101+P101+Q101)*E101</f>
        <v>7722.3794000000007</v>
      </c>
      <c r="AA101" s="103">
        <f>S101*E101</f>
        <v>938.20079999999996</v>
      </c>
      <c r="AB101" s="103">
        <f>(J101+K101+L101+M101+N101+O101+P101+Q101+R101)*E101</f>
        <v>9165.7792000000009</v>
      </c>
      <c r="AC101" s="5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</row>
    <row r="102" spans="1:42" s="91" customFormat="1" ht="25.5">
      <c r="A102" s="39" t="s">
        <v>119</v>
      </c>
      <c r="B102" s="40" t="s">
        <v>120</v>
      </c>
      <c r="C102" s="63" t="s">
        <v>8</v>
      </c>
      <c r="D102" s="64">
        <v>847.2</v>
      </c>
      <c r="E102" s="65">
        <v>11.62</v>
      </c>
      <c r="F102" s="41">
        <f t="shared" si="67"/>
        <v>847.2</v>
      </c>
      <c r="G102" s="65">
        <v>9.4499999999999993</v>
      </c>
      <c r="H102" s="66">
        <f t="shared" si="68"/>
        <v>9844.4599999999991</v>
      </c>
      <c r="I102" s="235" t="s">
        <v>492</v>
      </c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>
        <f t="shared" si="69"/>
        <v>0</v>
      </c>
      <c r="U102" s="67">
        <f t="shared" si="70"/>
        <v>847.2</v>
      </c>
      <c r="V102" s="67">
        <f t="shared" si="71"/>
        <v>9844.4639999999999</v>
      </c>
      <c r="W102" s="44">
        <f t="shared" si="72"/>
        <v>0</v>
      </c>
      <c r="X102" s="44">
        <f t="shared" si="73"/>
        <v>0</v>
      </c>
      <c r="Y102" s="45">
        <f t="shared" si="74"/>
        <v>0</v>
      </c>
      <c r="Z102" s="103">
        <f>(J102+K102+L102+M102+N102)*E102</f>
        <v>0</v>
      </c>
      <c r="AA102" s="103">
        <f t="shared" si="75"/>
        <v>0</v>
      </c>
      <c r="AB102" s="103">
        <f>(J102+K102+L102+M102+N102+O102)*E102</f>
        <v>0</v>
      </c>
      <c r="AC102" s="5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</row>
    <row r="103" spans="1:42" s="97" customFormat="1">
      <c r="A103" s="39" t="s">
        <v>121</v>
      </c>
      <c r="B103" s="40" t="s">
        <v>122</v>
      </c>
      <c r="C103" s="39" t="s">
        <v>8</v>
      </c>
      <c r="D103" s="41">
        <v>480</v>
      </c>
      <c r="E103" s="65">
        <v>28.93</v>
      </c>
      <c r="F103" s="41">
        <f t="shared" si="67"/>
        <v>480</v>
      </c>
      <c r="G103" s="65">
        <v>23.52</v>
      </c>
      <c r="H103" s="66">
        <f t="shared" si="68"/>
        <v>13886.4</v>
      </c>
      <c r="I103" s="235" t="s">
        <v>493</v>
      </c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>
        <f t="shared" si="69"/>
        <v>0</v>
      </c>
      <c r="U103" s="67">
        <f t="shared" si="70"/>
        <v>480</v>
      </c>
      <c r="V103" s="67">
        <f t="shared" si="71"/>
        <v>13886.4</v>
      </c>
      <c r="W103" s="44">
        <f t="shared" si="72"/>
        <v>0</v>
      </c>
      <c r="X103" s="44">
        <f t="shared" si="73"/>
        <v>0</v>
      </c>
      <c r="Y103" s="45">
        <f t="shared" si="74"/>
        <v>0</v>
      </c>
      <c r="Z103" s="103">
        <f>(J103+K103+L103+M103+N103)*E103</f>
        <v>0</v>
      </c>
      <c r="AA103" s="103">
        <f t="shared" si="75"/>
        <v>0</v>
      </c>
      <c r="AB103" s="103">
        <f>(J103+K103+L103+M103+N103+O103)*E103</f>
        <v>0</v>
      </c>
      <c r="AC103" s="5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</row>
    <row r="104" spans="1:42" s="91" customFormat="1" ht="25.5">
      <c r="A104" s="39" t="s">
        <v>123</v>
      </c>
      <c r="B104" s="40" t="s">
        <v>124</v>
      </c>
      <c r="C104" s="63" t="s">
        <v>8</v>
      </c>
      <c r="D104" s="64">
        <v>476</v>
      </c>
      <c r="E104" s="65">
        <v>31.62</v>
      </c>
      <c r="F104" s="41">
        <f t="shared" si="67"/>
        <v>476</v>
      </c>
      <c r="G104" s="65">
        <v>25.71</v>
      </c>
      <c r="H104" s="66">
        <f t="shared" si="68"/>
        <v>15051.12</v>
      </c>
      <c r="I104" s="235" t="s">
        <v>495</v>
      </c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>
        <f t="shared" si="69"/>
        <v>0</v>
      </c>
      <c r="U104" s="67">
        <f t="shared" si="70"/>
        <v>476</v>
      </c>
      <c r="V104" s="67">
        <f t="shared" si="71"/>
        <v>15051.12</v>
      </c>
      <c r="W104" s="44">
        <f t="shared" si="72"/>
        <v>0</v>
      </c>
      <c r="X104" s="44">
        <f t="shared" si="73"/>
        <v>0</v>
      </c>
      <c r="Y104" s="45">
        <f t="shared" si="74"/>
        <v>0</v>
      </c>
      <c r="Z104" s="103">
        <f>(J104+K104+L104+M104+N104)*E104</f>
        <v>0</v>
      </c>
      <c r="AA104" s="103">
        <f t="shared" si="75"/>
        <v>0</v>
      </c>
      <c r="AB104" s="103">
        <f>(J104+K104+L104+M104+N104+O104)*E104</f>
        <v>0</v>
      </c>
      <c r="AC104" s="5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</row>
    <row r="105" spans="1:42" s="91" customFormat="1">
      <c r="A105" s="229"/>
      <c r="B105" s="229"/>
      <c r="C105" s="229"/>
      <c r="D105" s="60"/>
      <c r="E105" s="65"/>
      <c r="F105" s="217"/>
      <c r="G105" s="65">
        <v>0</v>
      </c>
      <c r="H105" s="61"/>
      <c r="I105" s="23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67">
        <f t="shared" si="69"/>
        <v>0</v>
      </c>
      <c r="U105" s="81"/>
      <c r="V105" s="67">
        <f t="shared" si="71"/>
        <v>0</v>
      </c>
      <c r="W105" s="44">
        <v>0</v>
      </c>
      <c r="X105" s="44">
        <f t="shared" si="73"/>
        <v>0</v>
      </c>
      <c r="Y105" s="45">
        <f t="shared" si="74"/>
        <v>0</v>
      </c>
      <c r="Z105" s="103">
        <f>(J105+K105+L105+M105)*E105</f>
        <v>0</v>
      </c>
      <c r="AA105" s="103">
        <f>Q105*E105</f>
        <v>0</v>
      </c>
      <c r="AB105" s="103">
        <f>(J105+K105+L105+M105+N105)*E105</f>
        <v>0</v>
      </c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</row>
    <row r="106" spans="1:42" s="93" customFormat="1">
      <c r="A106" s="175">
        <v>11</v>
      </c>
      <c r="B106" s="33" t="s">
        <v>125</v>
      </c>
      <c r="C106" s="34"/>
      <c r="D106" s="35"/>
      <c r="E106" s="36">
        <v>0</v>
      </c>
      <c r="F106" s="36"/>
      <c r="G106" s="36">
        <v>0</v>
      </c>
      <c r="H106" s="37">
        <f>SUM(H107:H147)</f>
        <v>6872.2400000000016</v>
      </c>
      <c r="I106" s="50"/>
      <c r="J106" s="62"/>
      <c r="K106" s="62"/>
      <c r="L106" s="115"/>
      <c r="M106" s="62"/>
      <c r="N106" s="62"/>
      <c r="O106" s="62"/>
      <c r="P106" s="62"/>
      <c r="Q106" s="62"/>
      <c r="R106" s="115"/>
      <c r="S106" s="62"/>
      <c r="T106" s="62"/>
      <c r="U106" s="62"/>
      <c r="V106" s="37">
        <f>SUM(V107:V147)</f>
        <v>2246.39</v>
      </c>
      <c r="W106" s="38"/>
      <c r="X106" s="155"/>
      <c r="Y106" s="38"/>
      <c r="Z106" s="37">
        <f>SUM(Z107:Z147)</f>
        <v>3000.2599999999998</v>
      </c>
      <c r="AA106" s="37">
        <f>SUM(AA107:AA147)</f>
        <v>1321.62</v>
      </c>
      <c r="AB106" s="37">
        <f>SUM(AB107:AB147)</f>
        <v>3000.2599999999998</v>
      </c>
      <c r="AC106" s="1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</row>
    <row r="107" spans="1:42" ht="25.5">
      <c r="A107" s="219" t="s">
        <v>126</v>
      </c>
      <c r="B107" s="220" t="s">
        <v>127</v>
      </c>
      <c r="C107" s="219" t="s">
        <v>15</v>
      </c>
      <c r="D107" s="41">
        <v>4</v>
      </c>
      <c r="E107" s="42">
        <v>3.87</v>
      </c>
      <c r="F107" s="232"/>
      <c r="G107" s="42">
        <v>3.15</v>
      </c>
      <c r="H107" s="43">
        <f t="shared" ref="H107:H147" si="76">ROUND(D107*E107,2)</f>
        <v>15.48</v>
      </c>
      <c r="I107" s="233" t="s">
        <v>446</v>
      </c>
      <c r="J107" s="64">
        <v>4</v>
      </c>
      <c r="K107" s="64"/>
      <c r="L107" s="64"/>
      <c r="M107" s="64"/>
      <c r="N107" s="64"/>
      <c r="O107" s="64"/>
      <c r="P107" s="64"/>
      <c r="Q107" s="64"/>
      <c r="R107" s="64"/>
      <c r="S107" s="64"/>
      <c r="T107" s="67">
        <f t="shared" ref="T107:T148" si="77">SUM(J107:S107)</f>
        <v>4</v>
      </c>
      <c r="U107" s="67">
        <f t="shared" ref="U107:U147" si="78">D107-T107</f>
        <v>0</v>
      </c>
      <c r="V107" s="67">
        <f t="shared" ref="V107:V148" si="79">U107*E107</f>
        <v>0</v>
      </c>
      <c r="W107" s="44">
        <f t="shared" ref="W107:W147" si="80">(SUM(J107:R107))/D107</f>
        <v>1</v>
      </c>
      <c r="X107" s="44">
        <f t="shared" ref="X107:X148" si="81">IF(D107=0,0,S107/D107)</f>
        <v>0</v>
      </c>
      <c r="Y107" s="45">
        <f t="shared" ref="Y107:Y148" si="82">W107+X107</f>
        <v>1</v>
      </c>
      <c r="Z107" s="103">
        <f>(J107+K107+L107+M107+N107)*E107</f>
        <v>15.48</v>
      </c>
      <c r="AA107" s="103">
        <f t="shared" ref="AA107:AA112" si="83">Q107*E107</f>
        <v>0</v>
      </c>
      <c r="AB107" s="103">
        <f>(J107+K107+L107+M107+N107+O107)*E107</f>
        <v>15.48</v>
      </c>
      <c r="AC107" s="5"/>
    </row>
    <row r="108" spans="1:42" ht="25.5">
      <c r="A108" s="39" t="s">
        <v>128</v>
      </c>
      <c r="B108" s="40" t="s">
        <v>129</v>
      </c>
      <c r="C108" s="39" t="s">
        <v>15</v>
      </c>
      <c r="D108" s="41">
        <v>12</v>
      </c>
      <c r="E108" s="42">
        <v>4.4800000000000004</v>
      </c>
      <c r="F108" s="42"/>
      <c r="G108" s="42">
        <v>3.64</v>
      </c>
      <c r="H108" s="43">
        <f t="shared" si="76"/>
        <v>53.76</v>
      </c>
      <c r="I108" s="181" t="s">
        <v>446</v>
      </c>
      <c r="J108" s="64">
        <v>12</v>
      </c>
      <c r="K108" s="64"/>
      <c r="L108" s="64"/>
      <c r="M108" s="64"/>
      <c r="N108" s="64"/>
      <c r="O108" s="64"/>
      <c r="P108" s="64"/>
      <c r="Q108" s="64"/>
      <c r="R108" s="64"/>
      <c r="S108" s="64"/>
      <c r="T108" s="67">
        <f t="shared" si="77"/>
        <v>12</v>
      </c>
      <c r="U108" s="67">
        <f t="shared" si="78"/>
        <v>0</v>
      </c>
      <c r="V108" s="67">
        <f t="shared" si="79"/>
        <v>0</v>
      </c>
      <c r="W108" s="44">
        <f t="shared" si="80"/>
        <v>1</v>
      </c>
      <c r="X108" s="44">
        <f t="shared" si="81"/>
        <v>0</v>
      </c>
      <c r="Y108" s="45">
        <f t="shared" si="82"/>
        <v>1</v>
      </c>
      <c r="Z108" s="103">
        <f>(J108+K108+L108+M108+N108)*E108</f>
        <v>53.760000000000005</v>
      </c>
      <c r="AA108" s="103">
        <f t="shared" si="83"/>
        <v>0</v>
      </c>
      <c r="AB108" s="103">
        <f>(J108+K108+L108+M108+N108+O108)*E108</f>
        <v>53.760000000000005</v>
      </c>
      <c r="AC108" s="5"/>
    </row>
    <row r="109" spans="1:42" ht="25.5">
      <c r="A109" s="39" t="s">
        <v>130</v>
      </c>
      <c r="B109" s="40" t="s">
        <v>131</v>
      </c>
      <c r="C109" s="39" t="s">
        <v>15</v>
      </c>
      <c r="D109" s="41">
        <v>4</v>
      </c>
      <c r="E109" s="42">
        <v>6.22</v>
      </c>
      <c r="F109" s="42"/>
      <c r="G109" s="42">
        <v>5.0599999999999996</v>
      </c>
      <c r="H109" s="43">
        <f t="shared" si="76"/>
        <v>24.88</v>
      </c>
      <c r="I109" s="181" t="s">
        <v>446</v>
      </c>
      <c r="J109" s="64">
        <v>4</v>
      </c>
      <c r="K109" s="64"/>
      <c r="L109" s="64"/>
      <c r="M109" s="64"/>
      <c r="N109" s="64"/>
      <c r="O109" s="64"/>
      <c r="P109" s="64"/>
      <c r="Q109" s="64"/>
      <c r="R109" s="64"/>
      <c r="S109" s="64"/>
      <c r="T109" s="67">
        <f t="shared" si="77"/>
        <v>4</v>
      </c>
      <c r="U109" s="67">
        <f t="shared" si="78"/>
        <v>0</v>
      </c>
      <c r="V109" s="67">
        <f t="shared" si="79"/>
        <v>0</v>
      </c>
      <c r="W109" s="44">
        <f t="shared" si="80"/>
        <v>1</v>
      </c>
      <c r="X109" s="44">
        <f t="shared" si="81"/>
        <v>0</v>
      </c>
      <c r="Y109" s="45">
        <f t="shared" si="82"/>
        <v>1</v>
      </c>
      <c r="Z109" s="103">
        <f>(J109+K109+L109+M109+N109)*E109</f>
        <v>24.88</v>
      </c>
      <c r="AA109" s="103">
        <f t="shared" si="83"/>
        <v>0</v>
      </c>
      <c r="AB109" s="103">
        <f>(J109+K109+L109+M109+N109+O109)*E109</f>
        <v>24.88</v>
      </c>
      <c r="AC109" s="5"/>
    </row>
    <row r="110" spans="1:42" ht="25.5">
      <c r="A110" s="39" t="s">
        <v>132</v>
      </c>
      <c r="B110" s="40" t="s">
        <v>133</v>
      </c>
      <c r="C110" s="39" t="s">
        <v>15</v>
      </c>
      <c r="D110" s="41">
        <v>4</v>
      </c>
      <c r="E110" s="42">
        <v>7.88</v>
      </c>
      <c r="F110" s="42"/>
      <c r="G110" s="42">
        <v>6.41</v>
      </c>
      <c r="H110" s="43">
        <f t="shared" si="76"/>
        <v>31.52</v>
      </c>
      <c r="I110" s="181" t="s">
        <v>446</v>
      </c>
      <c r="J110" s="64">
        <v>4</v>
      </c>
      <c r="K110" s="64"/>
      <c r="L110" s="64"/>
      <c r="M110" s="64"/>
      <c r="N110" s="64"/>
      <c r="O110" s="64"/>
      <c r="P110" s="64"/>
      <c r="Q110" s="64"/>
      <c r="R110" s="64"/>
      <c r="S110" s="64"/>
      <c r="T110" s="67">
        <f t="shared" si="77"/>
        <v>4</v>
      </c>
      <c r="U110" s="67">
        <f t="shared" si="78"/>
        <v>0</v>
      </c>
      <c r="V110" s="67">
        <f t="shared" si="79"/>
        <v>0</v>
      </c>
      <c r="W110" s="44">
        <f t="shared" si="80"/>
        <v>1</v>
      </c>
      <c r="X110" s="44">
        <f t="shared" si="81"/>
        <v>0</v>
      </c>
      <c r="Y110" s="45">
        <f t="shared" si="82"/>
        <v>1</v>
      </c>
      <c r="Z110" s="103">
        <f>(J110+K110+L110+M110+N110)*E110</f>
        <v>31.52</v>
      </c>
      <c r="AA110" s="103">
        <f t="shared" si="83"/>
        <v>0</v>
      </c>
      <c r="AB110" s="103">
        <f>(J110+K110+L110+M110+N110+O110)*E110</f>
        <v>31.52</v>
      </c>
      <c r="AC110" s="5"/>
    </row>
    <row r="111" spans="1:42" s="91" customFormat="1">
      <c r="A111" s="39" t="s">
        <v>134</v>
      </c>
      <c r="B111" s="40" t="s">
        <v>135</v>
      </c>
      <c r="C111" s="63" t="s">
        <v>15</v>
      </c>
      <c r="D111" s="64">
        <v>0</v>
      </c>
      <c r="E111" s="65">
        <v>8.51</v>
      </c>
      <c r="F111" s="65"/>
      <c r="G111" s="65">
        <v>6.92</v>
      </c>
      <c r="H111" s="66">
        <f t="shared" si="76"/>
        <v>0</v>
      </c>
      <c r="I111" s="182" t="s">
        <v>453</v>
      </c>
      <c r="J111" s="67">
        <v>0</v>
      </c>
      <c r="K111" s="67">
        <v>0</v>
      </c>
      <c r="L111" s="67"/>
      <c r="M111" s="67"/>
      <c r="N111" s="67"/>
      <c r="O111" s="67"/>
      <c r="P111" s="67"/>
      <c r="Q111" s="67"/>
      <c r="R111" s="67"/>
      <c r="S111" s="67"/>
      <c r="T111" s="67">
        <f t="shared" si="77"/>
        <v>0</v>
      </c>
      <c r="U111" s="67">
        <f t="shared" si="78"/>
        <v>0</v>
      </c>
      <c r="V111" s="67">
        <f t="shared" si="79"/>
        <v>0</v>
      </c>
      <c r="W111" s="44">
        <v>0</v>
      </c>
      <c r="X111" s="44">
        <f t="shared" si="81"/>
        <v>0</v>
      </c>
      <c r="Y111" s="45">
        <f t="shared" si="82"/>
        <v>0</v>
      </c>
      <c r="Z111" s="103">
        <f>(J111+K111+L111+M111)*E111</f>
        <v>0</v>
      </c>
      <c r="AA111" s="103">
        <f t="shared" si="83"/>
        <v>0</v>
      </c>
      <c r="AB111" s="103">
        <f>(J111+K111+L111+M111+N111)*E111</f>
        <v>0</v>
      </c>
      <c r="AC111" s="5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</row>
    <row r="112" spans="1:42" s="91" customFormat="1">
      <c r="A112" s="209" t="s">
        <v>136</v>
      </c>
      <c r="B112" s="210" t="s">
        <v>137</v>
      </c>
      <c r="C112" s="211" t="s">
        <v>15</v>
      </c>
      <c r="D112" s="64">
        <v>0</v>
      </c>
      <c r="E112" s="65">
        <v>10.93</v>
      </c>
      <c r="F112" s="207"/>
      <c r="G112" s="65">
        <v>8.89</v>
      </c>
      <c r="H112" s="66">
        <f t="shared" si="76"/>
        <v>0</v>
      </c>
      <c r="I112" s="212" t="s">
        <v>454</v>
      </c>
      <c r="J112" s="67">
        <v>0</v>
      </c>
      <c r="K112" s="67">
        <v>0</v>
      </c>
      <c r="L112" s="67"/>
      <c r="M112" s="67"/>
      <c r="N112" s="67"/>
      <c r="O112" s="67"/>
      <c r="P112" s="67"/>
      <c r="Q112" s="67"/>
      <c r="R112" s="67"/>
      <c r="S112" s="67"/>
      <c r="T112" s="67">
        <f t="shared" si="77"/>
        <v>0</v>
      </c>
      <c r="U112" s="67">
        <f t="shared" si="78"/>
        <v>0</v>
      </c>
      <c r="V112" s="67">
        <f t="shared" si="79"/>
        <v>0</v>
      </c>
      <c r="W112" s="44">
        <v>0</v>
      </c>
      <c r="X112" s="44">
        <f t="shared" si="81"/>
        <v>0</v>
      </c>
      <c r="Y112" s="45">
        <f t="shared" si="82"/>
        <v>0</v>
      </c>
      <c r="Z112" s="103">
        <f>(J112+K112+L112+M112)*E112</f>
        <v>0</v>
      </c>
      <c r="AA112" s="103">
        <f t="shared" si="83"/>
        <v>0</v>
      </c>
      <c r="AB112" s="103">
        <f>(J112+K112+L112+M112+N112)*E112</f>
        <v>0</v>
      </c>
      <c r="AC112" s="5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</row>
    <row r="113" spans="1:42" s="91" customFormat="1">
      <c r="A113" s="39" t="s">
        <v>138</v>
      </c>
      <c r="B113" s="40" t="s">
        <v>139</v>
      </c>
      <c r="C113" s="63" t="s">
        <v>15</v>
      </c>
      <c r="D113" s="64">
        <v>1</v>
      </c>
      <c r="E113" s="65">
        <v>1625.59</v>
      </c>
      <c r="F113" s="41">
        <f t="shared" ref="F113:F115" si="84">U113</f>
        <v>0</v>
      </c>
      <c r="G113" s="65">
        <v>1321.62</v>
      </c>
      <c r="H113" s="66">
        <f t="shared" si="76"/>
        <v>1625.59</v>
      </c>
      <c r="I113" s="235" t="s">
        <v>496</v>
      </c>
      <c r="J113" s="64"/>
      <c r="K113" s="64"/>
      <c r="L113" s="64"/>
      <c r="M113" s="64"/>
      <c r="N113" s="64"/>
      <c r="O113" s="64"/>
      <c r="P113" s="64"/>
      <c r="Q113" s="64"/>
      <c r="R113" s="64"/>
      <c r="S113" s="64">
        <v>1</v>
      </c>
      <c r="T113" s="67">
        <f t="shared" si="77"/>
        <v>1</v>
      </c>
      <c r="U113" s="67">
        <f t="shared" si="78"/>
        <v>0</v>
      </c>
      <c r="V113" s="67">
        <f t="shared" si="79"/>
        <v>0</v>
      </c>
      <c r="W113" s="44">
        <f t="shared" si="80"/>
        <v>0</v>
      </c>
      <c r="X113" s="44">
        <f t="shared" si="81"/>
        <v>1</v>
      </c>
      <c r="Y113" s="45">
        <f t="shared" si="82"/>
        <v>1</v>
      </c>
      <c r="Z113" s="103">
        <f>(J113+K113+L113+M113+N113)*E113</f>
        <v>0</v>
      </c>
      <c r="AA113" s="103">
        <f t="shared" ref="AA113:AA115" si="85">S113*G113</f>
        <v>1321.62</v>
      </c>
      <c r="AB113" s="103">
        <f>(J113+K113+L113+M113+N113+O113)*E113</f>
        <v>0</v>
      </c>
      <c r="AC113" s="5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</row>
    <row r="114" spans="1:42" s="91" customFormat="1">
      <c r="A114" s="39" t="s">
        <v>140</v>
      </c>
      <c r="B114" s="40" t="s">
        <v>141</v>
      </c>
      <c r="C114" s="63" t="s">
        <v>15</v>
      </c>
      <c r="D114" s="64">
        <v>10</v>
      </c>
      <c r="E114" s="65">
        <v>6.43</v>
      </c>
      <c r="F114" s="41">
        <f t="shared" si="84"/>
        <v>10</v>
      </c>
      <c r="G114" s="65">
        <v>5.23</v>
      </c>
      <c r="H114" s="66">
        <f t="shared" si="76"/>
        <v>64.3</v>
      </c>
      <c r="I114" s="235" t="s">
        <v>497</v>
      </c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7">
        <f t="shared" si="77"/>
        <v>0</v>
      </c>
      <c r="U114" s="67">
        <f t="shared" si="78"/>
        <v>10</v>
      </c>
      <c r="V114" s="67">
        <f t="shared" si="79"/>
        <v>64.3</v>
      </c>
      <c r="W114" s="44">
        <f t="shared" si="80"/>
        <v>0</v>
      </c>
      <c r="X114" s="44">
        <f t="shared" si="81"/>
        <v>0</v>
      </c>
      <c r="Y114" s="45">
        <f t="shared" si="82"/>
        <v>0</v>
      </c>
      <c r="Z114" s="103">
        <f>(J114+K114+L114+M114+N114)*E114</f>
        <v>0</v>
      </c>
      <c r="AA114" s="103">
        <f t="shared" si="85"/>
        <v>0</v>
      </c>
      <c r="AB114" s="103">
        <f>(J114+K114+L114+M114+N114+O114)*E114</f>
        <v>0</v>
      </c>
      <c r="AC114" s="5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</row>
    <row r="115" spans="1:42" s="91" customFormat="1">
      <c r="A115" s="39" t="s">
        <v>142</v>
      </c>
      <c r="B115" s="40" t="s">
        <v>143</v>
      </c>
      <c r="C115" s="63" t="s">
        <v>15</v>
      </c>
      <c r="D115" s="64">
        <v>3</v>
      </c>
      <c r="E115" s="65">
        <v>17.63</v>
      </c>
      <c r="F115" s="41">
        <f t="shared" si="84"/>
        <v>3</v>
      </c>
      <c r="G115" s="65">
        <v>14.33</v>
      </c>
      <c r="H115" s="66">
        <f t="shared" si="76"/>
        <v>52.89</v>
      </c>
      <c r="I115" s="235" t="s">
        <v>498</v>
      </c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7">
        <f t="shared" si="77"/>
        <v>0</v>
      </c>
      <c r="U115" s="67">
        <f t="shared" si="78"/>
        <v>3</v>
      </c>
      <c r="V115" s="67">
        <f t="shared" si="79"/>
        <v>52.89</v>
      </c>
      <c r="W115" s="44">
        <f t="shared" si="80"/>
        <v>0</v>
      </c>
      <c r="X115" s="44">
        <f t="shared" si="81"/>
        <v>0</v>
      </c>
      <c r="Y115" s="45">
        <f t="shared" si="82"/>
        <v>0</v>
      </c>
      <c r="Z115" s="103">
        <f>(J115+K115+L115+M115+N115)*E115</f>
        <v>0</v>
      </c>
      <c r="AA115" s="103">
        <f t="shared" si="85"/>
        <v>0</v>
      </c>
      <c r="AB115" s="103">
        <f>(J115+K115+L115+M115+N115+O115)*E115</f>
        <v>0</v>
      </c>
      <c r="AC115" s="5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</row>
    <row r="116" spans="1:42">
      <c r="A116" s="219" t="s">
        <v>144</v>
      </c>
      <c r="B116" s="220" t="s">
        <v>145</v>
      </c>
      <c r="C116" s="219" t="s">
        <v>15</v>
      </c>
      <c r="D116" s="41">
        <v>2</v>
      </c>
      <c r="E116" s="42">
        <v>39.96</v>
      </c>
      <c r="F116" s="232"/>
      <c r="G116" s="42">
        <v>32.49</v>
      </c>
      <c r="H116" s="43">
        <f t="shared" si="76"/>
        <v>79.92</v>
      </c>
      <c r="I116" s="233" t="s">
        <v>446</v>
      </c>
      <c r="J116" s="64">
        <v>2</v>
      </c>
      <c r="K116" s="64"/>
      <c r="L116" s="64"/>
      <c r="M116" s="64"/>
      <c r="N116" s="64"/>
      <c r="O116" s="64"/>
      <c r="P116" s="64"/>
      <c r="Q116" s="64"/>
      <c r="R116" s="64"/>
      <c r="S116" s="64"/>
      <c r="T116" s="67">
        <f t="shared" si="77"/>
        <v>2</v>
      </c>
      <c r="U116" s="67">
        <f t="shared" si="78"/>
        <v>0</v>
      </c>
      <c r="V116" s="67">
        <f t="shared" si="79"/>
        <v>0</v>
      </c>
      <c r="W116" s="44">
        <f t="shared" si="80"/>
        <v>1</v>
      </c>
      <c r="X116" s="44">
        <f t="shared" si="81"/>
        <v>0</v>
      </c>
      <c r="Y116" s="45">
        <f t="shared" si="82"/>
        <v>1</v>
      </c>
      <c r="Z116" s="103">
        <f>(J116+K116+L116+M116+N116)*E116</f>
        <v>79.92</v>
      </c>
      <c r="AA116" s="103">
        <f t="shared" ref="AA116:AA136" si="86">Q116*E116</f>
        <v>0</v>
      </c>
      <c r="AB116" s="103">
        <f>(J116+K116+L116+M116+N116+O116)*E116</f>
        <v>79.92</v>
      </c>
      <c r="AC116" s="5"/>
    </row>
    <row r="117" spans="1:42" s="91" customFormat="1">
      <c r="A117" s="39" t="s">
        <v>146</v>
      </c>
      <c r="B117" s="40" t="s">
        <v>147</v>
      </c>
      <c r="C117" s="63" t="s">
        <v>15</v>
      </c>
      <c r="D117" s="64">
        <v>0</v>
      </c>
      <c r="E117" s="65">
        <v>5.2</v>
      </c>
      <c r="F117" s="65"/>
      <c r="G117" s="65">
        <v>4.2300000000000004</v>
      </c>
      <c r="H117" s="66">
        <f t="shared" si="76"/>
        <v>0</v>
      </c>
      <c r="I117" s="182">
        <v>89362</v>
      </c>
      <c r="J117" s="67">
        <v>0</v>
      </c>
      <c r="K117" s="67"/>
      <c r="L117" s="67"/>
      <c r="M117" s="67"/>
      <c r="N117" s="67"/>
      <c r="O117" s="67"/>
      <c r="P117" s="67"/>
      <c r="Q117" s="67"/>
      <c r="R117" s="67"/>
      <c r="S117" s="67"/>
      <c r="T117" s="67">
        <f t="shared" si="77"/>
        <v>0</v>
      </c>
      <c r="U117" s="67">
        <f t="shared" si="78"/>
        <v>0</v>
      </c>
      <c r="V117" s="67">
        <f t="shared" si="79"/>
        <v>0</v>
      </c>
      <c r="W117" s="44">
        <v>0</v>
      </c>
      <c r="X117" s="44">
        <f t="shared" si="81"/>
        <v>0</v>
      </c>
      <c r="Y117" s="45">
        <f t="shared" si="82"/>
        <v>0</v>
      </c>
      <c r="Z117" s="103">
        <f t="shared" ref="Z117:Z124" si="87">(J117+K117+L117+M117)*E117</f>
        <v>0</v>
      </c>
      <c r="AA117" s="103">
        <f t="shared" si="86"/>
        <v>0</v>
      </c>
      <c r="AB117" s="103">
        <f t="shared" ref="AB117:AB124" si="88">(J117+K117+L117+M117+N117)*E117</f>
        <v>0</v>
      </c>
      <c r="AC117" s="5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</row>
    <row r="118" spans="1:42" s="91" customFormat="1">
      <c r="A118" s="39" t="s">
        <v>148</v>
      </c>
      <c r="B118" s="40" t="s">
        <v>149</v>
      </c>
      <c r="C118" s="63" t="s">
        <v>15</v>
      </c>
      <c r="D118" s="64">
        <v>0</v>
      </c>
      <c r="E118" s="65">
        <v>7.22</v>
      </c>
      <c r="F118" s="65"/>
      <c r="G118" s="65">
        <v>5.87</v>
      </c>
      <c r="H118" s="66">
        <f t="shared" si="76"/>
        <v>0</v>
      </c>
      <c r="I118" s="182">
        <v>89367</v>
      </c>
      <c r="J118" s="67">
        <v>0</v>
      </c>
      <c r="K118" s="67"/>
      <c r="L118" s="67"/>
      <c r="M118" s="67"/>
      <c r="N118" s="67"/>
      <c r="O118" s="67"/>
      <c r="P118" s="67"/>
      <c r="Q118" s="67"/>
      <c r="R118" s="67"/>
      <c r="S118" s="67"/>
      <c r="T118" s="67">
        <f t="shared" si="77"/>
        <v>0</v>
      </c>
      <c r="U118" s="67">
        <f t="shared" si="78"/>
        <v>0</v>
      </c>
      <c r="V118" s="67">
        <f t="shared" si="79"/>
        <v>0</v>
      </c>
      <c r="W118" s="44">
        <v>0</v>
      </c>
      <c r="X118" s="44">
        <f t="shared" si="81"/>
        <v>0</v>
      </c>
      <c r="Y118" s="45">
        <f t="shared" si="82"/>
        <v>0</v>
      </c>
      <c r="Z118" s="103">
        <f t="shared" si="87"/>
        <v>0</v>
      </c>
      <c r="AA118" s="103">
        <f t="shared" si="86"/>
        <v>0</v>
      </c>
      <c r="AB118" s="103">
        <f t="shared" si="88"/>
        <v>0</v>
      </c>
      <c r="AC118" s="5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</row>
    <row r="119" spans="1:42" s="91" customFormat="1">
      <c r="A119" s="39" t="s">
        <v>150</v>
      </c>
      <c r="B119" s="40" t="s">
        <v>151</v>
      </c>
      <c r="C119" s="63" t="s">
        <v>15</v>
      </c>
      <c r="D119" s="64">
        <v>0</v>
      </c>
      <c r="E119" s="65">
        <v>8.25</v>
      </c>
      <c r="F119" s="65"/>
      <c r="G119" s="65">
        <v>6.71</v>
      </c>
      <c r="H119" s="66">
        <f t="shared" si="76"/>
        <v>0</v>
      </c>
      <c r="I119" s="182">
        <v>89501</v>
      </c>
      <c r="J119" s="67">
        <v>0</v>
      </c>
      <c r="K119" s="67"/>
      <c r="L119" s="67"/>
      <c r="M119" s="67"/>
      <c r="N119" s="67"/>
      <c r="O119" s="67"/>
      <c r="P119" s="67"/>
      <c r="Q119" s="67"/>
      <c r="R119" s="67"/>
      <c r="S119" s="67"/>
      <c r="T119" s="67">
        <f t="shared" si="77"/>
        <v>0</v>
      </c>
      <c r="U119" s="67">
        <f t="shared" si="78"/>
        <v>0</v>
      </c>
      <c r="V119" s="67">
        <f t="shared" si="79"/>
        <v>0</v>
      </c>
      <c r="W119" s="44">
        <v>0</v>
      </c>
      <c r="X119" s="44">
        <f t="shared" si="81"/>
        <v>0</v>
      </c>
      <c r="Y119" s="45">
        <f t="shared" si="82"/>
        <v>0</v>
      </c>
      <c r="Z119" s="103">
        <f t="shared" si="87"/>
        <v>0</v>
      </c>
      <c r="AA119" s="103">
        <f t="shared" si="86"/>
        <v>0</v>
      </c>
      <c r="AB119" s="103">
        <f t="shared" si="88"/>
        <v>0</v>
      </c>
      <c r="AC119" s="5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</row>
    <row r="120" spans="1:42" s="91" customFormat="1">
      <c r="A120" s="39" t="s">
        <v>152</v>
      </c>
      <c r="B120" s="40" t="s">
        <v>153</v>
      </c>
      <c r="C120" s="63" t="s">
        <v>15</v>
      </c>
      <c r="D120" s="64">
        <v>0</v>
      </c>
      <c r="E120" s="65">
        <v>11.21</v>
      </c>
      <c r="F120" s="65"/>
      <c r="G120" s="65">
        <v>9.11</v>
      </c>
      <c r="H120" s="66">
        <f t="shared" si="76"/>
        <v>0</v>
      </c>
      <c r="I120" s="182" t="s">
        <v>455</v>
      </c>
      <c r="J120" s="67">
        <v>0</v>
      </c>
      <c r="K120" s="67"/>
      <c r="L120" s="67"/>
      <c r="M120" s="67"/>
      <c r="N120" s="67"/>
      <c r="O120" s="67"/>
      <c r="P120" s="67"/>
      <c r="Q120" s="67"/>
      <c r="R120" s="67"/>
      <c r="S120" s="67"/>
      <c r="T120" s="67">
        <f t="shared" si="77"/>
        <v>0</v>
      </c>
      <c r="U120" s="67">
        <f t="shared" si="78"/>
        <v>0</v>
      </c>
      <c r="V120" s="67">
        <f t="shared" si="79"/>
        <v>0</v>
      </c>
      <c r="W120" s="44">
        <v>0</v>
      </c>
      <c r="X120" s="44">
        <f t="shared" si="81"/>
        <v>0</v>
      </c>
      <c r="Y120" s="45">
        <f t="shared" si="82"/>
        <v>0</v>
      </c>
      <c r="Z120" s="103">
        <f t="shared" si="87"/>
        <v>0</v>
      </c>
      <c r="AA120" s="103">
        <f t="shared" si="86"/>
        <v>0</v>
      </c>
      <c r="AB120" s="103">
        <f t="shared" si="88"/>
        <v>0</v>
      </c>
      <c r="AC120" s="5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</row>
    <row r="121" spans="1:42" s="91" customFormat="1">
      <c r="A121" s="39" t="s">
        <v>154</v>
      </c>
      <c r="B121" s="40" t="s">
        <v>155</v>
      </c>
      <c r="C121" s="63" t="s">
        <v>15</v>
      </c>
      <c r="D121" s="64">
        <v>0</v>
      </c>
      <c r="E121" s="65">
        <v>8.1999999999999993</v>
      </c>
      <c r="F121" s="65"/>
      <c r="G121" s="65">
        <v>6.67</v>
      </c>
      <c r="H121" s="66">
        <f t="shared" si="76"/>
        <v>0</v>
      </c>
      <c r="I121" s="182" t="s">
        <v>456</v>
      </c>
      <c r="J121" s="67">
        <v>0</v>
      </c>
      <c r="K121" s="67"/>
      <c r="L121" s="67"/>
      <c r="M121" s="67"/>
      <c r="N121" s="67"/>
      <c r="O121" s="67"/>
      <c r="P121" s="67"/>
      <c r="Q121" s="67"/>
      <c r="R121" s="67"/>
      <c r="S121" s="67"/>
      <c r="T121" s="67">
        <f t="shared" si="77"/>
        <v>0</v>
      </c>
      <c r="U121" s="67">
        <f t="shared" si="78"/>
        <v>0</v>
      </c>
      <c r="V121" s="67">
        <f t="shared" si="79"/>
        <v>0</v>
      </c>
      <c r="W121" s="44">
        <v>0</v>
      </c>
      <c r="X121" s="44">
        <f t="shared" si="81"/>
        <v>0</v>
      </c>
      <c r="Y121" s="45">
        <f t="shared" si="82"/>
        <v>0</v>
      </c>
      <c r="Z121" s="103">
        <f t="shared" si="87"/>
        <v>0</v>
      </c>
      <c r="AA121" s="103">
        <f t="shared" si="86"/>
        <v>0</v>
      </c>
      <c r="AB121" s="103">
        <f t="shared" si="88"/>
        <v>0</v>
      </c>
      <c r="AC121" s="5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</row>
    <row r="122" spans="1:42" s="91" customFormat="1" ht="25.5">
      <c r="A122" s="39" t="s">
        <v>156</v>
      </c>
      <c r="B122" s="40" t="s">
        <v>157</v>
      </c>
      <c r="C122" s="63" t="s">
        <v>15</v>
      </c>
      <c r="D122" s="64">
        <v>0</v>
      </c>
      <c r="E122" s="65">
        <v>12.47</v>
      </c>
      <c r="F122" s="65"/>
      <c r="G122" s="65">
        <v>10.14</v>
      </c>
      <c r="H122" s="66">
        <f t="shared" si="76"/>
        <v>0</v>
      </c>
      <c r="I122" s="182" t="s">
        <v>457</v>
      </c>
      <c r="J122" s="67">
        <v>0</v>
      </c>
      <c r="K122" s="67"/>
      <c r="L122" s="67"/>
      <c r="M122" s="67"/>
      <c r="N122" s="67"/>
      <c r="O122" s="67"/>
      <c r="P122" s="67"/>
      <c r="Q122" s="67"/>
      <c r="R122" s="67"/>
      <c r="S122" s="67"/>
      <c r="T122" s="67">
        <f t="shared" si="77"/>
        <v>0</v>
      </c>
      <c r="U122" s="67">
        <f t="shared" si="78"/>
        <v>0</v>
      </c>
      <c r="V122" s="67">
        <f t="shared" si="79"/>
        <v>0</v>
      </c>
      <c r="W122" s="44">
        <v>0</v>
      </c>
      <c r="X122" s="44">
        <f t="shared" si="81"/>
        <v>0</v>
      </c>
      <c r="Y122" s="45">
        <f t="shared" si="82"/>
        <v>0</v>
      </c>
      <c r="Z122" s="103">
        <f t="shared" si="87"/>
        <v>0</v>
      </c>
      <c r="AA122" s="103">
        <f t="shared" si="86"/>
        <v>0</v>
      </c>
      <c r="AB122" s="103">
        <f t="shared" si="88"/>
        <v>0</v>
      </c>
      <c r="AC122" s="5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</row>
    <row r="123" spans="1:42" s="91" customFormat="1">
      <c r="A123" s="39" t="s">
        <v>158</v>
      </c>
      <c r="B123" s="40" t="s">
        <v>159</v>
      </c>
      <c r="C123" s="63" t="s">
        <v>15</v>
      </c>
      <c r="D123" s="64">
        <v>0</v>
      </c>
      <c r="E123" s="65">
        <v>8.1999999999999993</v>
      </c>
      <c r="F123" s="65"/>
      <c r="G123" s="65">
        <v>6.67</v>
      </c>
      <c r="H123" s="66">
        <f t="shared" si="76"/>
        <v>0</v>
      </c>
      <c r="I123" s="182" t="s">
        <v>458</v>
      </c>
      <c r="J123" s="67">
        <v>0</v>
      </c>
      <c r="K123" s="67"/>
      <c r="L123" s="67"/>
      <c r="M123" s="67"/>
      <c r="N123" s="67"/>
      <c r="O123" s="67"/>
      <c r="P123" s="67"/>
      <c r="Q123" s="67"/>
      <c r="R123" s="67"/>
      <c r="S123" s="67"/>
      <c r="T123" s="67">
        <f t="shared" si="77"/>
        <v>0</v>
      </c>
      <c r="U123" s="67">
        <f t="shared" si="78"/>
        <v>0</v>
      </c>
      <c r="V123" s="67">
        <f t="shared" si="79"/>
        <v>0</v>
      </c>
      <c r="W123" s="44">
        <v>0</v>
      </c>
      <c r="X123" s="44">
        <f t="shared" si="81"/>
        <v>0</v>
      </c>
      <c r="Y123" s="45">
        <f t="shared" si="82"/>
        <v>0</v>
      </c>
      <c r="Z123" s="103">
        <f t="shared" si="87"/>
        <v>0</v>
      </c>
      <c r="AA123" s="103">
        <f t="shared" si="86"/>
        <v>0</v>
      </c>
      <c r="AB123" s="103">
        <f t="shared" si="88"/>
        <v>0</v>
      </c>
      <c r="AC123" s="5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</row>
    <row r="124" spans="1:42" s="91" customFormat="1">
      <c r="A124" s="39" t="s">
        <v>160</v>
      </c>
      <c r="B124" s="40" t="s">
        <v>161</v>
      </c>
      <c r="C124" s="63" t="s">
        <v>15</v>
      </c>
      <c r="D124" s="64">
        <v>0</v>
      </c>
      <c r="E124" s="65">
        <v>5.2</v>
      </c>
      <c r="F124" s="65"/>
      <c r="G124" s="65">
        <v>4.2300000000000004</v>
      </c>
      <c r="H124" s="66">
        <f t="shared" si="76"/>
        <v>0</v>
      </c>
      <c r="I124" s="182">
        <v>89562</v>
      </c>
      <c r="J124" s="67">
        <v>0</v>
      </c>
      <c r="K124" s="67"/>
      <c r="L124" s="67"/>
      <c r="M124" s="67"/>
      <c r="N124" s="67"/>
      <c r="O124" s="67"/>
      <c r="P124" s="67"/>
      <c r="Q124" s="67"/>
      <c r="R124" s="67"/>
      <c r="S124" s="67"/>
      <c r="T124" s="67">
        <f t="shared" si="77"/>
        <v>0</v>
      </c>
      <c r="U124" s="67">
        <f t="shared" si="78"/>
        <v>0</v>
      </c>
      <c r="V124" s="67">
        <f t="shared" si="79"/>
        <v>0</v>
      </c>
      <c r="W124" s="44">
        <v>0</v>
      </c>
      <c r="X124" s="44">
        <f t="shared" si="81"/>
        <v>0</v>
      </c>
      <c r="Y124" s="45">
        <f t="shared" si="82"/>
        <v>0</v>
      </c>
      <c r="Z124" s="103">
        <f t="shared" si="87"/>
        <v>0</v>
      </c>
      <c r="AA124" s="103">
        <f t="shared" si="86"/>
        <v>0</v>
      </c>
      <c r="AB124" s="103">
        <f t="shared" si="88"/>
        <v>0</v>
      </c>
      <c r="AC124" s="5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</row>
    <row r="125" spans="1:42">
      <c r="A125" s="39" t="s">
        <v>162</v>
      </c>
      <c r="B125" s="40" t="s">
        <v>163</v>
      </c>
      <c r="C125" s="39" t="s">
        <v>15</v>
      </c>
      <c r="D125" s="41">
        <v>2</v>
      </c>
      <c r="E125" s="42">
        <v>4.78</v>
      </c>
      <c r="F125" s="42"/>
      <c r="G125" s="42">
        <v>3.89</v>
      </c>
      <c r="H125" s="43">
        <f t="shared" si="76"/>
        <v>9.56</v>
      </c>
      <c r="I125" s="181" t="s">
        <v>446</v>
      </c>
      <c r="J125" s="64">
        <v>2</v>
      </c>
      <c r="K125" s="64"/>
      <c r="L125" s="64"/>
      <c r="M125" s="64"/>
      <c r="N125" s="64"/>
      <c r="O125" s="64"/>
      <c r="P125" s="64"/>
      <c r="Q125" s="64"/>
      <c r="R125" s="64"/>
      <c r="S125" s="64"/>
      <c r="T125" s="67">
        <f t="shared" si="77"/>
        <v>2</v>
      </c>
      <c r="U125" s="67">
        <f t="shared" si="78"/>
        <v>0</v>
      </c>
      <c r="V125" s="67">
        <f t="shared" si="79"/>
        <v>0</v>
      </c>
      <c r="W125" s="44">
        <f t="shared" si="80"/>
        <v>1</v>
      </c>
      <c r="X125" s="44">
        <f t="shared" si="81"/>
        <v>0</v>
      </c>
      <c r="Y125" s="45">
        <f t="shared" si="82"/>
        <v>1</v>
      </c>
      <c r="Z125" s="103">
        <f t="shared" ref="Z125:Z131" si="89">(J125+K125+L125+M125+N125)*E125</f>
        <v>9.56</v>
      </c>
      <c r="AA125" s="103">
        <f t="shared" si="86"/>
        <v>0</v>
      </c>
      <c r="AB125" s="103">
        <f t="shared" ref="AB125:AB131" si="90">(J125+K125+L125+M125+N125+O125)*E125</f>
        <v>9.56</v>
      </c>
      <c r="AC125" s="5"/>
    </row>
    <row r="126" spans="1:42">
      <c r="A126" s="39" t="s">
        <v>164</v>
      </c>
      <c r="B126" s="40" t="s">
        <v>165</v>
      </c>
      <c r="C126" s="39" t="s">
        <v>15</v>
      </c>
      <c r="D126" s="41">
        <v>4</v>
      </c>
      <c r="E126" s="42">
        <v>7.24</v>
      </c>
      <c r="F126" s="42"/>
      <c r="G126" s="42">
        <v>5.89</v>
      </c>
      <c r="H126" s="43">
        <f t="shared" si="76"/>
        <v>28.96</v>
      </c>
      <c r="I126" s="181" t="s">
        <v>446</v>
      </c>
      <c r="J126" s="64">
        <v>4</v>
      </c>
      <c r="K126" s="64"/>
      <c r="L126" s="64"/>
      <c r="M126" s="64"/>
      <c r="N126" s="64"/>
      <c r="O126" s="64"/>
      <c r="P126" s="64"/>
      <c r="Q126" s="64"/>
      <c r="R126" s="64"/>
      <c r="S126" s="64"/>
      <c r="T126" s="67">
        <f t="shared" si="77"/>
        <v>4</v>
      </c>
      <c r="U126" s="67">
        <f t="shared" si="78"/>
        <v>0</v>
      </c>
      <c r="V126" s="67">
        <f t="shared" si="79"/>
        <v>0</v>
      </c>
      <c r="W126" s="44">
        <f t="shared" si="80"/>
        <v>1</v>
      </c>
      <c r="X126" s="44">
        <f t="shared" si="81"/>
        <v>0</v>
      </c>
      <c r="Y126" s="45">
        <f t="shared" si="82"/>
        <v>1</v>
      </c>
      <c r="Z126" s="103">
        <f t="shared" si="89"/>
        <v>28.96</v>
      </c>
      <c r="AA126" s="103">
        <f t="shared" si="86"/>
        <v>0</v>
      </c>
      <c r="AB126" s="103">
        <f t="shared" si="90"/>
        <v>28.96</v>
      </c>
      <c r="AC126" s="5"/>
    </row>
    <row r="127" spans="1:42">
      <c r="A127" s="39" t="s">
        <v>166</v>
      </c>
      <c r="B127" s="40" t="s">
        <v>167</v>
      </c>
      <c r="C127" s="39" t="s">
        <v>15</v>
      </c>
      <c r="D127" s="41">
        <v>2</v>
      </c>
      <c r="E127" s="42">
        <v>87.34</v>
      </c>
      <c r="F127" s="42"/>
      <c r="G127" s="42">
        <v>71.010000000000005</v>
      </c>
      <c r="H127" s="43">
        <f t="shared" si="76"/>
        <v>174.68</v>
      </c>
      <c r="I127" s="181" t="s">
        <v>446</v>
      </c>
      <c r="J127" s="64">
        <v>2</v>
      </c>
      <c r="K127" s="64"/>
      <c r="L127" s="64"/>
      <c r="M127" s="64"/>
      <c r="N127" s="64"/>
      <c r="O127" s="64"/>
      <c r="P127" s="64"/>
      <c r="Q127" s="64"/>
      <c r="R127" s="64"/>
      <c r="S127" s="64"/>
      <c r="T127" s="67">
        <f t="shared" si="77"/>
        <v>2</v>
      </c>
      <c r="U127" s="67">
        <f t="shared" si="78"/>
        <v>0</v>
      </c>
      <c r="V127" s="67">
        <f t="shared" si="79"/>
        <v>0</v>
      </c>
      <c r="W127" s="44">
        <f t="shared" si="80"/>
        <v>1</v>
      </c>
      <c r="X127" s="44">
        <f t="shared" si="81"/>
        <v>0</v>
      </c>
      <c r="Y127" s="45">
        <f t="shared" si="82"/>
        <v>1</v>
      </c>
      <c r="Z127" s="103">
        <f t="shared" si="89"/>
        <v>174.68</v>
      </c>
      <c r="AA127" s="103">
        <f t="shared" si="86"/>
        <v>0</v>
      </c>
      <c r="AB127" s="103">
        <f t="shared" si="90"/>
        <v>174.68</v>
      </c>
      <c r="AC127" s="5"/>
    </row>
    <row r="128" spans="1:42">
      <c r="A128" s="39" t="s">
        <v>168</v>
      </c>
      <c r="B128" s="40" t="s">
        <v>169</v>
      </c>
      <c r="C128" s="39" t="s">
        <v>15</v>
      </c>
      <c r="D128" s="41">
        <v>2</v>
      </c>
      <c r="E128" s="42">
        <v>128.97999999999999</v>
      </c>
      <c r="F128" s="42"/>
      <c r="G128" s="42">
        <v>104.86</v>
      </c>
      <c r="H128" s="43">
        <f t="shared" si="76"/>
        <v>257.95999999999998</v>
      </c>
      <c r="I128" s="181" t="s">
        <v>446</v>
      </c>
      <c r="J128" s="64">
        <v>2</v>
      </c>
      <c r="K128" s="64"/>
      <c r="L128" s="64"/>
      <c r="M128" s="64"/>
      <c r="N128" s="64"/>
      <c r="O128" s="64"/>
      <c r="P128" s="64"/>
      <c r="Q128" s="64"/>
      <c r="R128" s="64"/>
      <c r="S128" s="64"/>
      <c r="T128" s="67">
        <f t="shared" si="77"/>
        <v>2</v>
      </c>
      <c r="U128" s="67">
        <f t="shared" si="78"/>
        <v>0</v>
      </c>
      <c r="V128" s="67">
        <f t="shared" si="79"/>
        <v>0</v>
      </c>
      <c r="W128" s="44">
        <f t="shared" si="80"/>
        <v>1</v>
      </c>
      <c r="X128" s="44">
        <f t="shared" si="81"/>
        <v>0</v>
      </c>
      <c r="Y128" s="45">
        <f t="shared" si="82"/>
        <v>1</v>
      </c>
      <c r="Z128" s="103">
        <f t="shared" si="89"/>
        <v>257.95999999999998</v>
      </c>
      <c r="AA128" s="103">
        <f t="shared" si="86"/>
        <v>0</v>
      </c>
      <c r="AB128" s="103">
        <f t="shared" si="90"/>
        <v>257.95999999999998</v>
      </c>
      <c r="AC128" s="5"/>
    </row>
    <row r="129" spans="1:42">
      <c r="A129" s="39" t="s">
        <v>170</v>
      </c>
      <c r="B129" s="40" t="s">
        <v>171</v>
      </c>
      <c r="C129" s="39" t="s">
        <v>15</v>
      </c>
      <c r="D129" s="41">
        <v>2</v>
      </c>
      <c r="E129" s="42">
        <v>114.25</v>
      </c>
      <c r="F129" s="42"/>
      <c r="G129" s="42">
        <v>92.89</v>
      </c>
      <c r="H129" s="43">
        <f t="shared" si="76"/>
        <v>228.5</v>
      </c>
      <c r="I129" s="181" t="s">
        <v>446</v>
      </c>
      <c r="J129" s="64">
        <v>2</v>
      </c>
      <c r="K129" s="64"/>
      <c r="L129" s="64"/>
      <c r="M129" s="64"/>
      <c r="N129" s="64"/>
      <c r="O129" s="64"/>
      <c r="P129" s="64"/>
      <c r="Q129" s="64"/>
      <c r="R129" s="64"/>
      <c r="S129" s="64"/>
      <c r="T129" s="67">
        <f t="shared" si="77"/>
        <v>2</v>
      </c>
      <c r="U129" s="67">
        <f t="shared" si="78"/>
        <v>0</v>
      </c>
      <c r="V129" s="67">
        <f t="shared" si="79"/>
        <v>0</v>
      </c>
      <c r="W129" s="44">
        <f t="shared" si="80"/>
        <v>1</v>
      </c>
      <c r="X129" s="44">
        <f t="shared" si="81"/>
        <v>0</v>
      </c>
      <c r="Y129" s="45">
        <f t="shared" si="82"/>
        <v>1</v>
      </c>
      <c r="Z129" s="103">
        <f t="shared" si="89"/>
        <v>228.5</v>
      </c>
      <c r="AA129" s="103">
        <f t="shared" si="86"/>
        <v>0</v>
      </c>
      <c r="AB129" s="103">
        <f t="shared" si="90"/>
        <v>228.5</v>
      </c>
      <c r="AC129" s="5"/>
    </row>
    <row r="130" spans="1:42">
      <c r="A130" s="39" t="s">
        <v>172</v>
      </c>
      <c r="B130" s="40" t="s">
        <v>173</v>
      </c>
      <c r="C130" s="39" t="s">
        <v>15</v>
      </c>
      <c r="D130" s="41">
        <v>2</v>
      </c>
      <c r="E130" s="42">
        <v>74.77</v>
      </c>
      <c r="F130" s="42"/>
      <c r="G130" s="42">
        <v>60.79</v>
      </c>
      <c r="H130" s="43">
        <f t="shared" si="76"/>
        <v>149.54</v>
      </c>
      <c r="I130" s="181" t="s">
        <v>446</v>
      </c>
      <c r="J130" s="64">
        <v>2</v>
      </c>
      <c r="K130" s="64"/>
      <c r="L130" s="64"/>
      <c r="M130" s="64"/>
      <c r="N130" s="64"/>
      <c r="O130" s="64"/>
      <c r="P130" s="64"/>
      <c r="Q130" s="64"/>
      <c r="R130" s="64"/>
      <c r="S130" s="64"/>
      <c r="T130" s="67">
        <f t="shared" si="77"/>
        <v>2</v>
      </c>
      <c r="U130" s="67">
        <f t="shared" si="78"/>
        <v>0</v>
      </c>
      <c r="V130" s="67">
        <f t="shared" si="79"/>
        <v>0</v>
      </c>
      <c r="W130" s="44">
        <f t="shared" si="80"/>
        <v>1</v>
      </c>
      <c r="X130" s="44">
        <f t="shared" si="81"/>
        <v>0</v>
      </c>
      <c r="Y130" s="45">
        <f t="shared" si="82"/>
        <v>1</v>
      </c>
      <c r="Z130" s="103">
        <f t="shared" si="89"/>
        <v>149.54</v>
      </c>
      <c r="AA130" s="103">
        <f t="shared" si="86"/>
        <v>0</v>
      </c>
      <c r="AB130" s="103">
        <f t="shared" si="90"/>
        <v>149.54</v>
      </c>
      <c r="AC130" s="5"/>
    </row>
    <row r="131" spans="1:42">
      <c r="A131" s="39" t="s">
        <v>174</v>
      </c>
      <c r="B131" s="40" t="s">
        <v>175</v>
      </c>
      <c r="C131" s="39" t="s">
        <v>15</v>
      </c>
      <c r="D131" s="41">
        <v>8</v>
      </c>
      <c r="E131" s="42">
        <v>71.599999999999994</v>
      </c>
      <c r="F131" s="42"/>
      <c r="G131" s="42">
        <v>58.21</v>
      </c>
      <c r="H131" s="43">
        <f t="shared" si="76"/>
        <v>572.79999999999995</v>
      </c>
      <c r="I131" s="181" t="s">
        <v>446</v>
      </c>
      <c r="J131" s="64">
        <v>8</v>
      </c>
      <c r="K131" s="64"/>
      <c r="L131" s="64"/>
      <c r="M131" s="64"/>
      <c r="N131" s="64"/>
      <c r="O131" s="64"/>
      <c r="P131" s="64"/>
      <c r="Q131" s="64"/>
      <c r="R131" s="64"/>
      <c r="S131" s="64"/>
      <c r="T131" s="67">
        <f t="shared" si="77"/>
        <v>8</v>
      </c>
      <c r="U131" s="67">
        <f t="shared" si="78"/>
        <v>0</v>
      </c>
      <c r="V131" s="67">
        <f t="shared" si="79"/>
        <v>0</v>
      </c>
      <c r="W131" s="44">
        <f t="shared" si="80"/>
        <v>1</v>
      </c>
      <c r="X131" s="44">
        <f t="shared" si="81"/>
        <v>0</v>
      </c>
      <c r="Y131" s="45">
        <f t="shared" si="82"/>
        <v>1</v>
      </c>
      <c r="Z131" s="103">
        <f t="shared" si="89"/>
        <v>572.79999999999995</v>
      </c>
      <c r="AA131" s="103">
        <f t="shared" si="86"/>
        <v>0</v>
      </c>
      <c r="AB131" s="103">
        <f t="shared" si="90"/>
        <v>572.79999999999995</v>
      </c>
      <c r="AC131" s="5"/>
    </row>
    <row r="132" spans="1:42" s="91" customFormat="1">
      <c r="A132" s="39" t="s">
        <v>176</v>
      </c>
      <c r="B132" s="40" t="s">
        <v>177</v>
      </c>
      <c r="C132" s="63" t="s">
        <v>15</v>
      </c>
      <c r="D132" s="64">
        <v>0</v>
      </c>
      <c r="E132" s="65">
        <v>8.15</v>
      </c>
      <c r="F132" s="65"/>
      <c r="G132" s="65">
        <v>6.63</v>
      </c>
      <c r="H132" s="66">
        <f t="shared" si="76"/>
        <v>0</v>
      </c>
      <c r="I132" s="182">
        <v>89395</v>
      </c>
      <c r="J132" s="67">
        <v>0</v>
      </c>
      <c r="K132" s="67"/>
      <c r="L132" s="67"/>
      <c r="M132" s="67"/>
      <c r="N132" s="67"/>
      <c r="O132" s="67"/>
      <c r="P132" s="67"/>
      <c r="Q132" s="67"/>
      <c r="R132" s="67"/>
      <c r="S132" s="67"/>
      <c r="T132" s="67">
        <f t="shared" si="77"/>
        <v>0</v>
      </c>
      <c r="U132" s="67">
        <f t="shared" si="78"/>
        <v>0</v>
      </c>
      <c r="V132" s="67">
        <f t="shared" si="79"/>
        <v>0</v>
      </c>
      <c r="W132" s="44">
        <v>0</v>
      </c>
      <c r="X132" s="44">
        <f t="shared" si="81"/>
        <v>0</v>
      </c>
      <c r="Y132" s="45">
        <f t="shared" si="82"/>
        <v>0</v>
      </c>
      <c r="Z132" s="103">
        <f>(J132+K132+L132+M132)*E132</f>
        <v>0</v>
      </c>
      <c r="AA132" s="103">
        <f t="shared" si="86"/>
        <v>0</v>
      </c>
      <c r="AB132" s="103">
        <f>(J132+K132+L132+M132+N132)*E132</f>
        <v>0</v>
      </c>
      <c r="AC132" s="5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</row>
    <row r="133" spans="1:42" s="91" customFormat="1">
      <c r="A133" s="39" t="s">
        <v>178</v>
      </c>
      <c r="B133" s="40" t="s">
        <v>179</v>
      </c>
      <c r="C133" s="63" t="s">
        <v>15</v>
      </c>
      <c r="D133" s="64">
        <v>0</v>
      </c>
      <c r="E133" s="65">
        <v>17.760000000000002</v>
      </c>
      <c r="F133" s="65"/>
      <c r="G133" s="65">
        <v>14.44</v>
      </c>
      <c r="H133" s="66">
        <f t="shared" si="76"/>
        <v>0</v>
      </c>
      <c r="I133" s="182" t="s">
        <v>459</v>
      </c>
      <c r="J133" s="67">
        <v>0</v>
      </c>
      <c r="K133" s="67"/>
      <c r="L133" s="67"/>
      <c r="M133" s="67"/>
      <c r="N133" s="67"/>
      <c r="O133" s="67"/>
      <c r="P133" s="67"/>
      <c r="Q133" s="67"/>
      <c r="R133" s="67"/>
      <c r="S133" s="67"/>
      <c r="T133" s="67">
        <f t="shared" si="77"/>
        <v>0</v>
      </c>
      <c r="U133" s="67">
        <f t="shared" si="78"/>
        <v>0</v>
      </c>
      <c r="V133" s="67">
        <f t="shared" si="79"/>
        <v>0</v>
      </c>
      <c r="W133" s="44">
        <v>0</v>
      </c>
      <c r="X133" s="44">
        <f t="shared" si="81"/>
        <v>0</v>
      </c>
      <c r="Y133" s="45">
        <f t="shared" si="82"/>
        <v>0</v>
      </c>
      <c r="Z133" s="103">
        <f>(J133+K133+L133+M133)*E133</f>
        <v>0</v>
      </c>
      <c r="AA133" s="103">
        <f t="shared" si="86"/>
        <v>0</v>
      </c>
      <c r="AB133" s="103">
        <f>(J133+K133+L133+M133+N133)*E133</f>
        <v>0</v>
      </c>
      <c r="AC133" s="5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</row>
    <row r="134" spans="1:42" s="91" customFormat="1">
      <c r="A134" s="39" t="s">
        <v>180</v>
      </c>
      <c r="B134" s="40" t="s">
        <v>181</v>
      </c>
      <c r="C134" s="63" t="s">
        <v>15</v>
      </c>
      <c r="D134" s="64">
        <v>0</v>
      </c>
      <c r="E134" s="65">
        <v>19.2</v>
      </c>
      <c r="F134" s="65"/>
      <c r="G134" s="65">
        <v>15.61</v>
      </c>
      <c r="H134" s="66">
        <f t="shared" si="76"/>
        <v>0</v>
      </c>
      <c r="I134" s="182" t="s">
        <v>460</v>
      </c>
      <c r="J134" s="67">
        <v>0</v>
      </c>
      <c r="K134" s="67"/>
      <c r="L134" s="67"/>
      <c r="M134" s="67"/>
      <c r="N134" s="67"/>
      <c r="O134" s="67"/>
      <c r="P134" s="67"/>
      <c r="Q134" s="67"/>
      <c r="R134" s="67"/>
      <c r="S134" s="67"/>
      <c r="T134" s="67">
        <f t="shared" si="77"/>
        <v>0</v>
      </c>
      <c r="U134" s="67">
        <f t="shared" si="78"/>
        <v>0</v>
      </c>
      <c r="V134" s="67">
        <f t="shared" si="79"/>
        <v>0</v>
      </c>
      <c r="W134" s="44">
        <v>0</v>
      </c>
      <c r="X134" s="44">
        <f t="shared" si="81"/>
        <v>0</v>
      </c>
      <c r="Y134" s="45">
        <f t="shared" si="82"/>
        <v>0</v>
      </c>
      <c r="Z134" s="103">
        <f>(J134+K134+L134+M134)*E134</f>
        <v>0</v>
      </c>
      <c r="AA134" s="103">
        <f t="shared" si="86"/>
        <v>0</v>
      </c>
      <c r="AB134" s="103">
        <f>(J134+K134+L134+M134+N134)*E134</f>
        <v>0</v>
      </c>
      <c r="AC134" s="5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</row>
    <row r="135" spans="1:42" s="91" customFormat="1">
      <c r="A135" s="39" t="s">
        <v>182</v>
      </c>
      <c r="B135" s="40" t="s">
        <v>183</v>
      </c>
      <c r="C135" s="63" t="s">
        <v>15</v>
      </c>
      <c r="D135" s="64">
        <v>0</v>
      </c>
      <c r="E135" s="65">
        <v>12.46</v>
      </c>
      <c r="F135" s="65"/>
      <c r="G135" s="65">
        <v>10.130000000000001</v>
      </c>
      <c r="H135" s="66">
        <f t="shared" si="76"/>
        <v>0</v>
      </c>
      <c r="I135" s="182" t="s">
        <v>461</v>
      </c>
      <c r="J135" s="67">
        <v>0</v>
      </c>
      <c r="K135" s="67"/>
      <c r="L135" s="67"/>
      <c r="M135" s="67"/>
      <c r="N135" s="67"/>
      <c r="O135" s="67"/>
      <c r="P135" s="67"/>
      <c r="Q135" s="67"/>
      <c r="R135" s="67"/>
      <c r="S135" s="67"/>
      <c r="T135" s="67">
        <f t="shared" si="77"/>
        <v>0</v>
      </c>
      <c r="U135" s="67">
        <f t="shared" si="78"/>
        <v>0</v>
      </c>
      <c r="V135" s="67">
        <f t="shared" si="79"/>
        <v>0</v>
      </c>
      <c r="W135" s="44">
        <v>0</v>
      </c>
      <c r="X135" s="44">
        <f t="shared" si="81"/>
        <v>0</v>
      </c>
      <c r="Y135" s="45">
        <f t="shared" si="82"/>
        <v>0</v>
      </c>
      <c r="Z135" s="103">
        <f>(J135+K135+L135+M135)*E135</f>
        <v>0</v>
      </c>
      <c r="AA135" s="103">
        <f t="shared" si="86"/>
        <v>0</v>
      </c>
      <c r="AB135" s="103">
        <f>(J135+K135+L135+M135+N135)*E135</f>
        <v>0</v>
      </c>
      <c r="AC135" s="5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</row>
    <row r="136" spans="1:42" s="91" customFormat="1">
      <c r="A136" s="209" t="s">
        <v>184</v>
      </c>
      <c r="B136" s="210" t="s">
        <v>185</v>
      </c>
      <c r="C136" s="211" t="s">
        <v>15</v>
      </c>
      <c r="D136" s="64">
        <v>0</v>
      </c>
      <c r="E136" s="65">
        <v>24.28</v>
      </c>
      <c r="F136" s="207"/>
      <c r="G136" s="65">
        <v>19.739999999999998</v>
      </c>
      <c r="H136" s="66">
        <f t="shared" si="76"/>
        <v>0</v>
      </c>
      <c r="I136" s="212" t="s">
        <v>462</v>
      </c>
      <c r="J136" s="67">
        <v>0</v>
      </c>
      <c r="K136" s="67"/>
      <c r="L136" s="67"/>
      <c r="M136" s="67"/>
      <c r="N136" s="67"/>
      <c r="O136" s="67"/>
      <c r="P136" s="67"/>
      <c r="Q136" s="67"/>
      <c r="R136" s="67"/>
      <c r="S136" s="67"/>
      <c r="T136" s="67">
        <f t="shared" si="77"/>
        <v>0</v>
      </c>
      <c r="U136" s="67">
        <f t="shared" si="78"/>
        <v>0</v>
      </c>
      <c r="V136" s="67">
        <f t="shared" si="79"/>
        <v>0</v>
      </c>
      <c r="W136" s="44">
        <v>0</v>
      </c>
      <c r="X136" s="44">
        <f t="shared" si="81"/>
        <v>0</v>
      </c>
      <c r="Y136" s="45">
        <f t="shared" si="82"/>
        <v>0</v>
      </c>
      <c r="Z136" s="103">
        <f>(J136+K136+L136+M136)*E136</f>
        <v>0</v>
      </c>
      <c r="AA136" s="103">
        <f t="shared" si="86"/>
        <v>0</v>
      </c>
      <c r="AB136" s="103">
        <f>(J136+K136+L136+M136+N136)*E136</f>
        <v>0</v>
      </c>
      <c r="AC136" s="5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</row>
    <row r="137" spans="1:42" s="91" customFormat="1">
      <c r="A137" s="39" t="s">
        <v>186</v>
      </c>
      <c r="B137" s="40" t="s">
        <v>187</v>
      </c>
      <c r="C137" s="63" t="s">
        <v>15</v>
      </c>
      <c r="D137" s="64">
        <v>8</v>
      </c>
      <c r="E137" s="65">
        <v>63.73</v>
      </c>
      <c r="F137" s="41">
        <f t="shared" ref="F137:F138" si="91">U137</f>
        <v>8</v>
      </c>
      <c r="G137" s="65">
        <v>51.81</v>
      </c>
      <c r="H137" s="66">
        <f t="shared" si="76"/>
        <v>509.84</v>
      </c>
      <c r="I137" s="235" t="s">
        <v>499</v>
      </c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7">
        <f t="shared" si="77"/>
        <v>0</v>
      </c>
      <c r="U137" s="67">
        <f t="shared" si="78"/>
        <v>8</v>
      </c>
      <c r="V137" s="67">
        <f t="shared" si="79"/>
        <v>509.84</v>
      </c>
      <c r="W137" s="44">
        <f t="shared" si="80"/>
        <v>0</v>
      </c>
      <c r="X137" s="44">
        <f t="shared" si="81"/>
        <v>0</v>
      </c>
      <c r="Y137" s="45">
        <f t="shared" si="82"/>
        <v>0</v>
      </c>
      <c r="Z137" s="103">
        <f>(J137+K137+L137+M137+N137)*E137</f>
        <v>0</v>
      </c>
      <c r="AA137" s="103">
        <f t="shared" ref="AA137:AA138" si="92">S137*G137</f>
        <v>0</v>
      </c>
      <c r="AB137" s="103">
        <f>(J137+K137+L137+M137+N137+O137)*E137</f>
        <v>0</v>
      </c>
      <c r="AC137" s="5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</row>
    <row r="138" spans="1:42" s="91" customFormat="1">
      <c r="A138" s="39" t="s">
        <v>188</v>
      </c>
      <c r="B138" s="40" t="s">
        <v>189</v>
      </c>
      <c r="C138" s="63" t="s">
        <v>15</v>
      </c>
      <c r="D138" s="64">
        <v>1</v>
      </c>
      <c r="E138" s="65">
        <v>77.8</v>
      </c>
      <c r="F138" s="41">
        <f t="shared" si="91"/>
        <v>1</v>
      </c>
      <c r="G138" s="65">
        <v>63.25</v>
      </c>
      <c r="H138" s="66">
        <f t="shared" si="76"/>
        <v>77.8</v>
      </c>
      <c r="I138" s="235" t="s">
        <v>500</v>
      </c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7">
        <f t="shared" si="77"/>
        <v>0</v>
      </c>
      <c r="U138" s="67">
        <f t="shared" si="78"/>
        <v>1</v>
      </c>
      <c r="V138" s="67">
        <f t="shared" si="79"/>
        <v>77.8</v>
      </c>
      <c r="W138" s="44">
        <f t="shared" si="80"/>
        <v>0</v>
      </c>
      <c r="X138" s="44">
        <f t="shared" si="81"/>
        <v>0</v>
      </c>
      <c r="Y138" s="45">
        <f t="shared" si="82"/>
        <v>0</v>
      </c>
      <c r="Z138" s="103">
        <f>(J138+K138+L138+M138+N138)*E138</f>
        <v>0</v>
      </c>
      <c r="AA138" s="103">
        <f t="shared" si="92"/>
        <v>0</v>
      </c>
      <c r="AB138" s="103">
        <f>(J138+K138+L138+M138+N138+O138)*E138</f>
        <v>0</v>
      </c>
      <c r="AC138" s="5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</row>
    <row r="139" spans="1:42" s="91" customFormat="1">
      <c r="A139" s="219" t="s">
        <v>190</v>
      </c>
      <c r="B139" s="220" t="s">
        <v>191</v>
      </c>
      <c r="C139" s="221" t="s">
        <v>105</v>
      </c>
      <c r="D139" s="64">
        <v>0</v>
      </c>
      <c r="E139" s="65">
        <v>9.2899999999999991</v>
      </c>
      <c r="F139" s="222"/>
      <c r="G139" s="65">
        <v>7.55</v>
      </c>
      <c r="H139" s="66">
        <f t="shared" si="76"/>
        <v>0</v>
      </c>
      <c r="I139" s="223" t="s">
        <v>463</v>
      </c>
      <c r="J139" s="67">
        <v>0</v>
      </c>
      <c r="K139" s="67"/>
      <c r="L139" s="67"/>
      <c r="M139" s="67"/>
      <c r="N139" s="67"/>
      <c r="O139" s="67"/>
      <c r="P139" s="67"/>
      <c r="Q139" s="67"/>
      <c r="R139" s="67"/>
      <c r="S139" s="67"/>
      <c r="T139" s="67">
        <f t="shared" si="77"/>
        <v>0</v>
      </c>
      <c r="U139" s="67">
        <f t="shared" si="78"/>
        <v>0</v>
      </c>
      <c r="V139" s="67">
        <f t="shared" si="79"/>
        <v>0</v>
      </c>
      <c r="W139" s="44">
        <v>0</v>
      </c>
      <c r="X139" s="44">
        <f t="shared" si="81"/>
        <v>0</v>
      </c>
      <c r="Y139" s="45">
        <f t="shared" si="82"/>
        <v>0</v>
      </c>
      <c r="Z139" s="103">
        <f>(J139+K139+L139+M139)*E139</f>
        <v>0</v>
      </c>
      <c r="AA139" s="103">
        <f t="shared" ref="AA139:AA145" si="93">Q139*E139</f>
        <v>0</v>
      </c>
      <c r="AB139" s="103">
        <f>(J139+K139+L139+M139+N139)*E139</f>
        <v>0</v>
      </c>
      <c r="AC139" s="5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</row>
    <row r="140" spans="1:42" s="91" customFormat="1">
      <c r="A140" s="39" t="s">
        <v>192</v>
      </c>
      <c r="B140" s="40" t="s">
        <v>193</v>
      </c>
      <c r="C140" s="63" t="s">
        <v>105</v>
      </c>
      <c r="D140" s="64">
        <v>0</v>
      </c>
      <c r="E140" s="65">
        <v>11</v>
      </c>
      <c r="F140" s="65"/>
      <c r="G140" s="65">
        <v>8.94</v>
      </c>
      <c r="H140" s="66">
        <f t="shared" si="76"/>
        <v>0</v>
      </c>
      <c r="I140" s="182" t="s">
        <v>464</v>
      </c>
      <c r="J140" s="67">
        <v>0</v>
      </c>
      <c r="K140" s="67"/>
      <c r="L140" s="67"/>
      <c r="M140" s="67"/>
      <c r="N140" s="67"/>
      <c r="O140" s="67"/>
      <c r="P140" s="67"/>
      <c r="Q140" s="67"/>
      <c r="R140" s="67"/>
      <c r="S140" s="67"/>
      <c r="T140" s="67">
        <f t="shared" si="77"/>
        <v>0</v>
      </c>
      <c r="U140" s="67">
        <f t="shared" si="78"/>
        <v>0</v>
      </c>
      <c r="V140" s="67">
        <f t="shared" si="79"/>
        <v>0</v>
      </c>
      <c r="W140" s="44">
        <v>0</v>
      </c>
      <c r="X140" s="44">
        <f t="shared" si="81"/>
        <v>0</v>
      </c>
      <c r="Y140" s="45">
        <f t="shared" si="82"/>
        <v>0</v>
      </c>
      <c r="Z140" s="103">
        <f>(J140+K140+L140+M140)*E140</f>
        <v>0</v>
      </c>
      <c r="AA140" s="103">
        <f t="shared" si="93"/>
        <v>0</v>
      </c>
      <c r="AB140" s="103">
        <f>(J140+K140+L140+M140+N140)*E140</f>
        <v>0</v>
      </c>
      <c r="AC140" s="5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</row>
    <row r="141" spans="1:42" s="91" customFormat="1">
      <c r="A141" s="39" t="s">
        <v>194</v>
      </c>
      <c r="B141" s="40" t="s">
        <v>195</v>
      </c>
      <c r="C141" s="63" t="s">
        <v>105</v>
      </c>
      <c r="D141" s="64">
        <v>0</v>
      </c>
      <c r="E141" s="65">
        <v>15.14</v>
      </c>
      <c r="F141" s="65"/>
      <c r="G141" s="65">
        <v>12.31</v>
      </c>
      <c r="H141" s="66">
        <f t="shared" si="76"/>
        <v>0</v>
      </c>
      <c r="I141" s="182" t="s">
        <v>465</v>
      </c>
      <c r="J141" s="67">
        <v>0</v>
      </c>
      <c r="K141" s="67"/>
      <c r="L141" s="67"/>
      <c r="M141" s="67"/>
      <c r="N141" s="67"/>
      <c r="O141" s="67"/>
      <c r="P141" s="67"/>
      <c r="Q141" s="67"/>
      <c r="R141" s="67"/>
      <c r="S141" s="67"/>
      <c r="T141" s="67">
        <f t="shared" si="77"/>
        <v>0</v>
      </c>
      <c r="U141" s="67">
        <f t="shared" si="78"/>
        <v>0</v>
      </c>
      <c r="V141" s="67">
        <f t="shared" si="79"/>
        <v>0</v>
      </c>
      <c r="W141" s="44">
        <v>0</v>
      </c>
      <c r="X141" s="44">
        <f t="shared" si="81"/>
        <v>0</v>
      </c>
      <c r="Y141" s="45">
        <f t="shared" si="82"/>
        <v>0</v>
      </c>
      <c r="Z141" s="103">
        <f>(J141+K141+L141+M141)*E141</f>
        <v>0</v>
      </c>
      <c r="AA141" s="103">
        <f t="shared" si="93"/>
        <v>0</v>
      </c>
      <c r="AB141" s="103">
        <f>(J141+K141+L141+M141+N141)*E141</f>
        <v>0</v>
      </c>
      <c r="AC141" s="5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</row>
    <row r="142" spans="1:42" s="91" customFormat="1">
      <c r="A142" s="39" t="s">
        <v>196</v>
      </c>
      <c r="B142" s="40" t="s">
        <v>197</v>
      </c>
      <c r="C142" s="63" t="s">
        <v>105</v>
      </c>
      <c r="D142" s="64">
        <v>0</v>
      </c>
      <c r="E142" s="65">
        <v>32.32</v>
      </c>
      <c r="F142" s="65"/>
      <c r="G142" s="65">
        <v>26.28</v>
      </c>
      <c r="H142" s="66">
        <f t="shared" si="76"/>
        <v>0</v>
      </c>
      <c r="I142" s="182" t="s">
        <v>466</v>
      </c>
      <c r="J142" s="67">
        <v>0</v>
      </c>
      <c r="K142" s="67"/>
      <c r="L142" s="67"/>
      <c r="M142" s="67"/>
      <c r="N142" s="67"/>
      <c r="O142" s="67"/>
      <c r="P142" s="67"/>
      <c r="Q142" s="67"/>
      <c r="R142" s="67"/>
      <c r="S142" s="67"/>
      <c r="T142" s="67">
        <f t="shared" si="77"/>
        <v>0</v>
      </c>
      <c r="U142" s="67">
        <f t="shared" si="78"/>
        <v>0</v>
      </c>
      <c r="V142" s="67">
        <f t="shared" si="79"/>
        <v>0</v>
      </c>
      <c r="W142" s="44">
        <v>0</v>
      </c>
      <c r="X142" s="44">
        <f t="shared" si="81"/>
        <v>0</v>
      </c>
      <c r="Y142" s="45">
        <f t="shared" si="82"/>
        <v>0</v>
      </c>
      <c r="Z142" s="103">
        <f>(J142+K142+L142+M142)*E142</f>
        <v>0</v>
      </c>
      <c r="AA142" s="103">
        <f t="shared" si="93"/>
        <v>0</v>
      </c>
      <c r="AB142" s="103">
        <f>(J142+K142+L142+M142+N142)*E142</f>
        <v>0</v>
      </c>
      <c r="AC142" s="5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</row>
    <row r="143" spans="1:42">
      <c r="A143" s="39" t="s">
        <v>198</v>
      </c>
      <c r="B143" s="40" t="s">
        <v>199</v>
      </c>
      <c r="C143" s="39" t="s">
        <v>105</v>
      </c>
      <c r="D143" s="41">
        <v>36</v>
      </c>
      <c r="E143" s="42">
        <v>36.049999999999997</v>
      </c>
      <c r="F143" s="42"/>
      <c r="G143" s="42">
        <v>29.31</v>
      </c>
      <c r="H143" s="43">
        <f t="shared" si="76"/>
        <v>1297.8</v>
      </c>
      <c r="I143" s="181" t="s">
        <v>446</v>
      </c>
      <c r="J143" s="64">
        <v>36</v>
      </c>
      <c r="K143" s="64"/>
      <c r="L143" s="64"/>
      <c r="M143" s="64"/>
      <c r="N143" s="64"/>
      <c r="O143" s="64"/>
      <c r="P143" s="64"/>
      <c r="Q143" s="64"/>
      <c r="R143" s="64"/>
      <c r="S143" s="64"/>
      <c r="T143" s="67">
        <f t="shared" si="77"/>
        <v>36</v>
      </c>
      <c r="U143" s="67">
        <f t="shared" si="78"/>
        <v>0</v>
      </c>
      <c r="V143" s="67">
        <f t="shared" si="79"/>
        <v>0</v>
      </c>
      <c r="W143" s="44">
        <f t="shared" si="80"/>
        <v>1</v>
      </c>
      <c r="X143" s="44">
        <f t="shared" si="81"/>
        <v>0</v>
      </c>
      <c r="Y143" s="45">
        <f t="shared" si="82"/>
        <v>1</v>
      </c>
      <c r="Z143" s="103">
        <f>(J143+K143+L143+M143+N143)*E143</f>
        <v>1297.8</v>
      </c>
      <c r="AA143" s="103">
        <f t="shared" si="93"/>
        <v>0</v>
      </c>
      <c r="AB143" s="103">
        <f>(J143+K143+L143+M143+N143+O143)*E143</f>
        <v>1297.8</v>
      </c>
      <c r="AC143" s="5"/>
    </row>
    <row r="144" spans="1:42">
      <c r="A144" s="39" t="s">
        <v>200</v>
      </c>
      <c r="B144" s="40" t="s">
        <v>201</v>
      </c>
      <c r="C144" s="39" t="s">
        <v>15</v>
      </c>
      <c r="D144" s="41">
        <v>6</v>
      </c>
      <c r="E144" s="42">
        <v>4.17</v>
      </c>
      <c r="F144" s="42"/>
      <c r="G144" s="42">
        <v>3.39</v>
      </c>
      <c r="H144" s="43">
        <f t="shared" si="76"/>
        <v>25.02</v>
      </c>
      <c r="I144" s="181" t="s">
        <v>446</v>
      </c>
      <c r="J144" s="64">
        <v>6</v>
      </c>
      <c r="K144" s="64"/>
      <c r="L144" s="64"/>
      <c r="M144" s="64"/>
      <c r="N144" s="64"/>
      <c r="O144" s="64"/>
      <c r="P144" s="64"/>
      <c r="Q144" s="64"/>
      <c r="R144" s="64"/>
      <c r="S144" s="64"/>
      <c r="T144" s="67">
        <f t="shared" si="77"/>
        <v>6</v>
      </c>
      <c r="U144" s="67">
        <f t="shared" si="78"/>
        <v>0</v>
      </c>
      <c r="V144" s="67">
        <f t="shared" si="79"/>
        <v>0</v>
      </c>
      <c r="W144" s="44">
        <f t="shared" si="80"/>
        <v>1</v>
      </c>
      <c r="X144" s="44">
        <f t="shared" si="81"/>
        <v>0</v>
      </c>
      <c r="Y144" s="45">
        <f t="shared" si="82"/>
        <v>1</v>
      </c>
      <c r="Z144" s="103">
        <f>(J144+K144+L144+M144+N144)*E144</f>
        <v>25.02</v>
      </c>
      <c r="AA144" s="103">
        <f t="shared" si="93"/>
        <v>0</v>
      </c>
      <c r="AB144" s="103">
        <f>(J144+K144+L144+M144+N144+O144)*E144</f>
        <v>25.02</v>
      </c>
      <c r="AC144" s="5"/>
    </row>
    <row r="145" spans="1:42">
      <c r="A145" s="209" t="s">
        <v>202</v>
      </c>
      <c r="B145" s="210" t="s">
        <v>203</v>
      </c>
      <c r="C145" s="209" t="s">
        <v>15</v>
      </c>
      <c r="D145" s="41">
        <v>2</v>
      </c>
      <c r="E145" s="42">
        <v>24.94</v>
      </c>
      <c r="F145" s="213"/>
      <c r="G145" s="42">
        <v>20.28</v>
      </c>
      <c r="H145" s="43">
        <f t="shared" si="76"/>
        <v>49.88</v>
      </c>
      <c r="I145" s="214" t="s">
        <v>446</v>
      </c>
      <c r="J145" s="64">
        <v>2</v>
      </c>
      <c r="K145" s="64"/>
      <c r="L145" s="64"/>
      <c r="M145" s="64"/>
      <c r="N145" s="64"/>
      <c r="O145" s="64"/>
      <c r="P145" s="64"/>
      <c r="Q145" s="64"/>
      <c r="R145" s="64"/>
      <c r="S145" s="64"/>
      <c r="T145" s="67">
        <f t="shared" si="77"/>
        <v>2</v>
      </c>
      <c r="U145" s="67">
        <f t="shared" si="78"/>
        <v>0</v>
      </c>
      <c r="V145" s="67">
        <f t="shared" si="79"/>
        <v>0</v>
      </c>
      <c r="W145" s="44">
        <f t="shared" si="80"/>
        <v>1</v>
      </c>
      <c r="X145" s="44">
        <f t="shared" si="81"/>
        <v>0</v>
      </c>
      <c r="Y145" s="45">
        <f t="shared" si="82"/>
        <v>1</v>
      </c>
      <c r="Z145" s="103">
        <f>(J145+K145+L145+M145+N145)*E145</f>
        <v>49.88</v>
      </c>
      <c r="AA145" s="103">
        <f t="shared" si="93"/>
        <v>0</v>
      </c>
      <c r="AB145" s="103">
        <f>(J145+K145+L145+M145+N145+O145)*E145</f>
        <v>49.88</v>
      </c>
      <c r="AC145" s="5"/>
    </row>
    <row r="146" spans="1:42" s="91" customFormat="1" ht="51">
      <c r="A146" s="39" t="s">
        <v>204</v>
      </c>
      <c r="B146" s="40" t="s">
        <v>205</v>
      </c>
      <c r="C146" s="63" t="s">
        <v>15</v>
      </c>
      <c r="D146" s="64">
        <v>2</v>
      </c>
      <c r="E146" s="65">
        <v>324.98</v>
      </c>
      <c r="F146" s="41">
        <f t="shared" ref="F146:F147" si="94">U146</f>
        <v>2</v>
      </c>
      <c r="G146" s="65">
        <v>264.20999999999998</v>
      </c>
      <c r="H146" s="66">
        <f t="shared" si="76"/>
        <v>649.96</v>
      </c>
      <c r="I146" s="182" t="s">
        <v>446</v>
      </c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7">
        <f t="shared" si="77"/>
        <v>0</v>
      </c>
      <c r="U146" s="67">
        <f t="shared" si="78"/>
        <v>2</v>
      </c>
      <c r="V146" s="67">
        <f t="shared" si="79"/>
        <v>649.96</v>
      </c>
      <c r="W146" s="44">
        <f t="shared" si="80"/>
        <v>0</v>
      </c>
      <c r="X146" s="44">
        <f t="shared" si="81"/>
        <v>0</v>
      </c>
      <c r="Y146" s="45">
        <f t="shared" si="82"/>
        <v>0</v>
      </c>
      <c r="Z146" s="103">
        <f>(J146+K146+L146+M146+N146)*E146</f>
        <v>0</v>
      </c>
      <c r="AA146" s="103">
        <f t="shared" ref="AA146:AA147" si="95">S146*G146</f>
        <v>0</v>
      </c>
      <c r="AB146" s="103">
        <f>(J146+K146+L146+M146+N146+O146)*E146</f>
        <v>0</v>
      </c>
      <c r="AC146" s="5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</row>
    <row r="147" spans="1:42" s="91" customFormat="1" ht="38.25">
      <c r="A147" s="39" t="s">
        <v>206</v>
      </c>
      <c r="B147" s="40" t="s">
        <v>207</v>
      </c>
      <c r="C147" s="63" t="s">
        <v>15</v>
      </c>
      <c r="D147" s="64">
        <v>4</v>
      </c>
      <c r="E147" s="65">
        <v>222.9</v>
      </c>
      <c r="F147" s="41">
        <f t="shared" si="94"/>
        <v>4</v>
      </c>
      <c r="G147" s="65">
        <v>181.22</v>
      </c>
      <c r="H147" s="66">
        <f t="shared" si="76"/>
        <v>891.6</v>
      </c>
      <c r="I147" s="235" t="s">
        <v>501</v>
      </c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7">
        <f t="shared" si="77"/>
        <v>0</v>
      </c>
      <c r="U147" s="67">
        <f t="shared" si="78"/>
        <v>4</v>
      </c>
      <c r="V147" s="67">
        <f t="shared" si="79"/>
        <v>891.6</v>
      </c>
      <c r="W147" s="44">
        <f t="shared" si="80"/>
        <v>0</v>
      </c>
      <c r="X147" s="44">
        <f t="shared" si="81"/>
        <v>0</v>
      </c>
      <c r="Y147" s="45">
        <f t="shared" si="82"/>
        <v>0</v>
      </c>
      <c r="Z147" s="103">
        <f>(J147+K147+L147+M147+N147)*E147</f>
        <v>0</v>
      </c>
      <c r="AA147" s="103">
        <f t="shared" si="95"/>
        <v>0</v>
      </c>
      <c r="AB147" s="103">
        <f>(J147+K147+L147+M147+N147+O147)*E147</f>
        <v>0</v>
      </c>
      <c r="AC147" s="5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</row>
    <row r="148" spans="1:42" s="91" customFormat="1">
      <c r="A148" s="229"/>
      <c r="B148" s="229"/>
      <c r="C148" s="229"/>
      <c r="D148" s="60"/>
      <c r="E148" s="65"/>
      <c r="F148" s="217"/>
      <c r="G148" s="65">
        <v>0</v>
      </c>
      <c r="H148" s="61"/>
      <c r="I148" s="23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67">
        <f t="shared" si="77"/>
        <v>0</v>
      </c>
      <c r="U148" s="81"/>
      <c r="V148" s="67">
        <f t="shared" si="79"/>
        <v>0</v>
      </c>
      <c r="W148" s="44">
        <v>0</v>
      </c>
      <c r="X148" s="44">
        <f t="shared" si="81"/>
        <v>0</v>
      </c>
      <c r="Y148" s="45">
        <f t="shared" si="82"/>
        <v>0</v>
      </c>
      <c r="Z148" s="103">
        <f>(J148+K148+L148+M148)*E148</f>
        <v>0</v>
      </c>
      <c r="AA148" s="103">
        <f>Q148*E148</f>
        <v>0</v>
      </c>
      <c r="AB148" s="103">
        <f>(J148+K148+L148+M148+N148)*E148</f>
        <v>0</v>
      </c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</row>
    <row r="149" spans="1:42" s="93" customFormat="1">
      <c r="A149" s="175">
        <v>12</v>
      </c>
      <c r="B149" s="33" t="s">
        <v>208</v>
      </c>
      <c r="C149" s="34"/>
      <c r="D149" s="35"/>
      <c r="E149" s="36">
        <v>0</v>
      </c>
      <c r="F149" s="36"/>
      <c r="G149" s="36">
        <v>0</v>
      </c>
      <c r="H149" s="37">
        <f>SUM(H150:H170)</f>
        <v>7724.5299999999988</v>
      </c>
      <c r="I149" s="50"/>
      <c r="J149" s="62"/>
      <c r="K149" s="62"/>
      <c r="L149" s="115"/>
      <c r="M149" s="62"/>
      <c r="N149" s="62"/>
      <c r="O149" s="62"/>
      <c r="P149" s="62"/>
      <c r="Q149" s="62"/>
      <c r="R149" s="115"/>
      <c r="S149" s="62"/>
      <c r="T149" s="62"/>
      <c r="U149" s="62"/>
      <c r="V149" s="37">
        <f>SUM(V150:V170)</f>
        <v>524.33000000000004</v>
      </c>
      <c r="W149" s="38"/>
      <c r="X149" s="155"/>
      <c r="Y149" s="38"/>
      <c r="Z149" s="37">
        <f>SUM(Z150:Z170)</f>
        <v>7200.1999999999989</v>
      </c>
      <c r="AA149" s="37">
        <f>SUM(AA150:AA170)</f>
        <v>0</v>
      </c>
      <c r="AB149" s="37">
        <f>SUM(AB150:AB170)</f>
        <v>7200.1999999999989</v>
      </c>
      <c r="AC149" s="1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</row>
    <row r="150" spans="1:42">
      <c r="A150" s="219" t="s">
        <v>209</v>
      </c>
      <c r="B150" s="220" t="s">
        <v>210</v>
      </c>
      <c r="C150" s="219" t="s">
        <v>15</v>
      </c>
      <c r="D150" s="41">
        <v>5</v>
      </c>
      <c r="E150" s="42">
        <v>6.86</v>
      </c>
      <c r="F150" s="232"/>
      <c r="G150" s="42">
        <v>5.58</v>
      </c>
      <c r="H150" s="43">
        <f t="shared" ref="H150:H170" si="96">ROUND(D150*E150,2)</f>
        <v>34.299999999999997</v>
      </c>
      <c r="I150" s="233" t="s">
        <v>446</v>
      </c>
      <c r="J150" s="64">
        <v>5</v>
      </c>
      <c r="K150" s="64"/>
      <c r="L150" s="64"/>
      <c r="M150" s="64"/>
      <c r="N150" s="64"/>
      <c r="O150" s="64"/>
      <c r="P150" s="64"/>
      <c r="Q150" s="64"/>
      <c r="R150" s="64"/>
      <c r="S150" s="64"/>
      <c r="T150" s="67">
        <f t="shared" ref="T150:T171" si="97">SUM(J150:S150)</f>
        <v>5</v>
      </c>
      <c r="U150" s="67">
        <f t="shared" ref="U150:U170" si="98">D150-T150</f>
        <v>0</v>
      </c>
      <c r="V150" s="67">
        <f t="shared" ref="V150:V171" si="99">U150*E150</f>
        <v>0</v>
      </c>
      <c r="W150" s="44">
        <f t="shared" ref="W150:W170" si="100">(SUM(J150:R150))/D150</f>
        <v>1</v>
      </c>
      <c r="X150" s="44">
        <f t="shared" ref="X150:X171" si="101">IF(D150=0,0,S150/D150)</f>
        <v>0</v>
      </c>
      <c r="Y150" s="45">
        <f t="shared" ref="Y150:Y171" si="102">W150+X150</f>
        <v>1</v>
      </c>
      <c r="Z150" s="103">
        <f t="shared" ref="Z150:Z170" si="103">(J150+K150+L150+M150+N150)*E150</f>
        <v>34.300000000000004</v>
      </c>
      <c r="AA150" s="103">
        <f>Q150*E150</f>
        <v>0</v>
      </c>
      <c r="AB150" s="103">
        <f t="shared" ref="AB150:AB170" si="104">(J150+K150+L150+M150+N150+O150)*E150</f>
        <v>34.300000000000004</v>
      </c>
      <c r="AC150" s="5"/>
    </row>
    <row r="151" spans="1:42">
      <c r="A151" s="39" t="s">
        <v>211</v>
      </c>
      <c r="B151" s="40" t="s">
        <v>212</v>
      </c>
      <c r="C151" s="39" t="s">
        <v>15</v>
      </c>
      <c r="D151" s="41">
        <v>4</v>
      </c>
      <c r="E151" s="42">
        <v>501.8</v>
      </c>
      <c r="F151" s="42"/>
      <c r="G151" s="42">
        <v>407.97</v>
      </c>
      <c r="H151" s="43">
        <f t="shared" si="96"/>
        <v>2007.2</v>
      </c>
      <c r="I151" s="181" t="s">
        <v>446</v>
      </c>
      <c r="J151" s="64">
        <v>4</v>
      </c>
      <c r="K151" s="64"/>
      <c r="L151" s="64"/>
      <c r="M151" s="64"/>
      <c r="N151" s="64"/>
      <c r="O151" s="64"/>
      <c r="P151" s="64"/>
      <c r="Q151" s="64"/>
      <c r="R151" s="64"/>
      <c r="S151" s="64"/>
      <c r="T151" s="67">
        <f t="shared" si="97"/>
        <v>4</v>
      </c>
      <c r="U151" s="67">
        <f t="shared" si="98"/>
        <v>0</v>
      </c>
      <c r="V151" s="67">
        <f t="shared" si="99"/>
        <v>0</v>
      </c>
      <c r="W151" s="44">
        <f t="shared" si="100"/>
        <v>1</v>
      </c>
      <c r="X151" s="44">
        <f t="shared" si="101"/>
        <v>0</v>
      </c>
      <c r="Y151" s="45">
        <f t="shared" si="102"/>
        <v>1</v>
      </c>
      <c r="Z151" s="103">
        <f t="shared" si="103"/>
        <v>2007.2</v>
      </c>
      <c r="AA151" s="103">
        <f>Q151*E151</f>
        <v>0</v>
      </c>
      <c r="AB151" s="103">
        <f t="shared" si="104"/>
        <v>2007.2</v>
      </c>
      <c r="AC151" s="5"/>
    </row>
    <row r="152" spans="1:42">
      <c r="A152" s="209" t="s">
        <v>213</v>
      </c>
      <c r="B152" s="210" t="s">
        <v>214</v>
      </c>
      <c r="C152" s="209" t="s">
        <v>15</v>
      </c>
      <c r="D152" s="41">
        <v>6</v>
      </c>
      <c r="E152" s="42">
        <v>25.53</v>
      </c>
      <c r="F152" s="213"/>
      <c r="G152" s="42">
        <v>20.76</v>
      </c>
      <c r="H152" s="43">
        <f t="shared" si="96"/>
        <v>153.18</v>
      </c>
      <c r="I152" s="214" t="s">
        <v>446</v>
      </c>
      <c r="J152" s="64">
        <v>6</v>
      </c>
      <c r="K152" s="64"/>
      <c r="L152" s="64"/>
      <c r="M152" s="64"/>
      <c r="N152" s="64"/>
      <c r="O152" s="64"/>
      <c r="P152" s="64"/>
      <c r="Q152" s="64"/>
      <c r="R152" s="64"/>
      <c r="S152" s="64"/>
      <c r="T152" s="67">
        <f t="shared" si="97"/>
        <v>6</v>
      </c>
      <c r="U152" s="67">
        <f t="shared" si="98"/>
        <v>0</v>
      </c>
      <c r="V152" s="67">
        <f t="shared" si="99"/>
        <v>0</v>
      </c>
      <c r="W152" s="44">
        <f t="shared" si="100"/>
        <v>1</v>
      </c>
      <c r="X152" s="44">
        <f t="shared" si="101"/>
        <v>0</v>
      </c>
      <c r="Y152" s="45">
        <f t="shared" si="102"/>
        <v>1</v>
      </c>
      <c r="Z152" s="103">
        <f t="shared" si="103"/>
        <v>153.18</v>
      </c>
      <c r="AA152" s="103">
        <f>Q152*E152</f>
        <v>0</v>
      </c>
      <c r="AB152" s="103">
        <f t="shared" si="104"/>
        <v>153.18</v>
      </c>
      <c r="AC152" s="5"/>
    </row>
    <row r="153" spans="1:42" s="91" customFormat="1">
      <c r="A153" s="39" t="s">
        <v>215</v>
      </c>
      <c r="B153" s="40" t="s">
        <v>216</v>
      </c>
      <c r="C153" s="63" t="s">
        <v>15</v>
      </c>
      <c r="D153" s="64">
        <v>4</v>
      </c>
      <c r="E153" s="65">
        <v>24.91</v>
      </c>
      <c r="F153" s="41">
        <f>U153</f>
        <v>4</v>
      </c>
      <c r="G153" s="65">
        <v>20.25</v>
      </c>
      <c r="H153" s="66">
        <f t="shared" si="96"/>
        <v>99.64</v>
      </c>
      <c r="I153" s="235" t="s">
        <v>502</v>
      </c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7">
        <f t="shared" si="97"/>
        <v>0</v>
      </c>
      <c r="U153" s="67">
        <f t="shared" si="98"/>
        <v>4</v>
      </c>
      <c r="V153" s="67">
        <f t="shared" si="99"/>
        <v>99.64</v>
      </c>
      <c r="W153" s="44">
        <f t="shared" si="100"/>
        <v>0</v>
      </c>
      <c r="X153" s="44">
        <f t="shared" si="101"/>
        <v>0</v>
      </c>
      <c r="Y153" s="45">
        <f t="shared" si="102"/>
        <v>0</v>
      </c>
      <c r="Z153" s="103">
        <f t="shared" si="103"/>
        <v>0</v>
      </c>
      <c r="AA153" s="103">
        <f>S153*G153</f>
        <v>0</v>
      </c>
      <c r="AB153" s="103">
        <f t="shared" si="104"/>
        <v>0</v>
      </c>
      <c r="AC153" s="5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</row>
    <row r="154" spans="1:42">
      <c r="A154" s="219" t="s">
        <v>217</v>
      </c>
      <c r="B154" s="220" t="s">
        <v>218</v>
      </c>
      <c r="C154" s="219" t="s">
        <v>15</v>
      </c>
      <c r="D154" s="41">
        <v>14</v>
      </c>
      <c r="E154" s="42">
        <v>7.4</v>
      </c>
      <c r="F154" s="232"/>
      <c r="G154" s="42">
        <v>6.02</v>
      </c>
      <c r="H154" s="43">
        <f t="shared" si="96"/>
        <v>103.6</v>
      </c>
      <c r="I154" s="233" t="s">
        <v>446</v>
      </c>
      <c r="J154" s="64">
        <v>14</v>
      </c>
      <c r="K154" s="64"/>
      <c r="L154" s="64"/>
      <c r="M154" s="64"/>
      <c r="N154" s="64"/>
      <c r="O154" s="64"/>
      <c r="P154" s="64"/>
      <c r="Q154" s="64"/>
      <c r="R154" s="64"/>
      <c r="S154" s="64"/>
      <c r="T154" s="67">
        <f t="shared" si="97"/>
        <v>14</v>
      </c>
      <c r="U154" s="67">
        <f t="shared" si="98"/>
        <v>0</v>
      </c>
      <c r="V154" s="67">
        <f t="shared" si="99"/>
        <v>0</v>
      </c>
      <c r="W154" s="44">
        <f t="shared" si="100"/>
        <v>1</v>
      </c>
      <c r="X154" s="44">
        <f t="shared" si="101"/>
        <v>0</v>
      </c>
      <c r="Y154" s="45">
        <f t="shared" si="102"/>
        <v>1</v>
      </c>
      <c r="Z154" s="103">
        <f t="shared" si="103"/>
        <v>103.60000000000001</v>
      </c>
      <c r="AA154" s="103">
        <f>Q154*E154</f>
        <v>0</v>
      </c>
      <c r="AB154" s="103">
        <f t="shared" si="104"/>
        <v>103.60000000000001</v>
      </c>
      <c r="AC154" s="5"/>
    </row>
    <row r="155" spans="1:42" s="91" customFormat="1">
      <c r="A155" s="39" t="s">
        <v>219</v>
      </c>
      <c r="B155" s="40" t="s">
        <v>220</v>
      </c>
      <c r="C155" s="63" t="s">
        <v>15</v>
      </c>
      <c r="D155" s="64">
        <v>1</v>
      </c>
      <c r="E155" s="65">
        <v>1303.8</v>
      </c>
      <c r="F155" s="65"/>
      <c r="G155" s="65">
        <v>1060</v>
      </c>
      <c r="H155" s="66">
        <f t="shared" si="96"/>
        <v>1303.8</v>
      </c>
      <c r="I155" s="182" t="s">
        <v>446</v>
      </c>
      <c r="J155" s="64"/>
      <c r="K155" s="64">
        <v>1</v>
      </c>
      <c r="L155" s="64"/>
      <c r="M155" s="64"/>
      <c r="N155" s="64"/>
      <c r="O155" s="64"/>
      <c r="P155" s="64"/>
      <c r="Q155" s="64"/>
      <c r="R155" s="64"/>
      <c r="S155" s="64"/>
      <c r="T155" s="67">
        <f t="shared" si="97"/>
        <v>1</v>
      </c>
      <c r="U155" s="67">
        <f t="shared" si="98"/>
        <v>0</v>
      </c>
      <c r="V155" s="67">
        <f t="shared" si="99"/>
        <v>0</v>
      </c>
      <c r="W155" s="44">
        <f t="shared" si="100"/>
        <v>1</v>
      </c>
      <c r="X155" s="44">
        <f t="shared" si="101"/>
        <v>0</v>
      </c>
      <c r="Y155" s="45">
        <f t="shared" si="102"/>
        <v>1</v>
      </c>
      <c r="Z155" s="103">
        <f t="shared" si="103"/>
        <v>1303.8</v>
      </c>
      <c r="AA155" s="103">
        <f>Q155*E155</f>
        <v>0</v>
      </c>
      <c r="AB155" s="103">
        <f t="shared" si="104"/>
        <v>1303.8</v>
      </c>
      <c r="AC155" s="5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</row>
    <row r="156" spans="1:42">
      <c r="A156" s="39" t="s">
        <v>221</v>
      </c>
      <c r="B156" s="40" t="s">
        <v>222</v>
      </c>
      <c r="C156" s="39" t="s">
        <v>15</v>
      </c>
      <c r="D156" s="41">
        <v>3</v>
      </c>
      <c r="E156" s="42">
        <v>5.26</v>
      </c>
      <c r="F156" s="42"/>
      <c r="G156" s="42">
        <v>4.28</v>
      </c>
      <c r="H156" s="43">
        <f t="shared" si="96"/>
        <v>15.78</v>
      </c>
      <c r="I156" s="181" t="s">
        <v>446</v>
      </c>
      <c r="J156" s="64">
        <v>3</v>
      </c>
      <c r="K156" s="64"/>
      <c r="L156" s="64"/>
      <c r="M156" s="64"/>
      <c r="N156" s="64"/>
      <c r="O156" s="64"/>
      <c r="P156" s="64"/>
      <c r="Q156" s="64"/>
      <c r="R156" s="64"/>
      <c r="S156" s="64"/>
      <c r="T156" s="67">
        <f t="shared" si="97"/>
        <v>3</v>
      </c>
      <c r="U156" s="67">
        <f t="shared" si="98"/>
        <v>0</v>
      </c>
      <c r="V156" s="67">
        <f t="shared" si="99"/>
        <v>0</v>
      </c>
      <c r="W156" s="44">
        <f t="shared" si="100"/>
        <v>1</v>
      </c>
      <c r="X156" s="44">
        <f t="shared" si="101"/>
        <v>0</v>
      </c>
      <c r="Y156" s="45">
        <f t="shared" si="102"/>
        <v>1</v>
      </c>
      <c r="Z156" s="103">
        <f t="shared" si="103"/>
        <v>15.78</v>
      </c>
      <c r="AA156" s="103">
        <f>Q156*E156</f>
        <v>0</v>
      </c>
      <c r="AB156" s="103">
        <f t="shared" si="104"/>
        <v>15.78</v>
      </c>
      <c r="AC156" s="5"/>
    </row>
    <row r="157" spans="1:42">
      <c r="A157" s="39" t="s">
        <v>223</v>
      </c>
      <c r="B157" s="40" t="s">
        <v>224</v>
      </c>
      <c r="C157" s="39" t="s">
        <v>15</v>
      </c>
      <c r="D157" s="41">
        <v>6</v>
      </c>
      <c r="E157" s="42">
        <v>7.56</v>
      </c>
      <c r="F157" s="42"/>
      <c r="G157" s="42">
        <v>6.15</v>
      </c>
      <c r="H157" s="43">
        <f t="shared" si="96"/>
        <v>45.36</v>
      </c>
      <c r="I157" s="181" t="s">
        <v>446</v>
      </c>
      <c r="J157" s="64">
        <v>6</v>
      </c>
      <c r="K157" s="64"/>
      <c r="L157" s="64"/>
      <c r="M157" s="64"/>
      <c r="N157" s="64"/>
      <c r="O157" s="64"/>
      <c r="P157" s="64"/>
      <c r="Q157" s="64"/>
      <c r="R157" s="64"/>
      <c r="S157" s="64"/>
      <c r="T157" s="67">
        <f t="shared" si="97"/>
        <v>6</v>
      </c>
      <c r="U157" s="67">
        <f t="shared" si="98"/>
        <v>0</v>
      </c>
      <c r="V157" s="67">
        <f t="shared" si="99"/>
        <v>0</v>
      </c>
      <c r="W157" s="44">
        <f t="shared" si="100"/>
        <v>1</v>
      </c>
      <c r="X157" s="44">
        <f t="shared" si="101"/>
        <v>0</v>
      </c>
      <c r="Y157" s="45">
        <f t="shared" si="102"/>
        <v>1</v>
      </c>
      <c r="Z157" s="103">
        <f t="shared" si="103"/>
        <v>45.36</v>
      </c>
      <c r="AA157" s="103">
        <f>Q157*E157</f>
        <v>0</v>
      </c>
      <c r="AB157" s="103">
        <f t="shared" si="104"/>
        <v>45.36</v>
      </c>
      <c r="AC157" s="5"/>
    </row>
    <row r="158" spans="1:42">
      <c r="A158" s="209" t="s">
        <v>225</v>
      </c>
      <c r="B158" s="210" t="s">
        <v>226</v>
      </c>
      <c r="C158" s="209" t="s">
        <v>15</v>
      </c>
      <c r="D158" s="41">
        <v>7</v>
      </c>
      <c r="E158" s="42">
        <v>15.94</v>
      </c>
      <c r="F158" s="213"/>
      <c r="G158" s="42">
        <v>12.96</v>
      </c>
      <c r="H158" s="43">
        <f t="shared" si="96"/>
        <v>111.58</v>
      </c>
      <c r="I158" s="214" t="s">
        <v>446</v>
      </c>
      <c r="J158" s="64">
        <v>7</v>
      </c>
      <c r="K158" s="64"/>
      <c r="L158" s="64"/>
      <c r="M158" s="64"/>
      <c r="N158" s="64"/>
      <c r="O158" s="64"/>
      <c r="P158" s="64"/>
      <c r="Q158" s="64"/>
      <c r="R158" s="64"/>
      <c r="S158" s="64"/>
      <c r="T158" s="67">
        <f t="shared" si="97"/>
        <v>7</v>
      </c>
      <c r="U158" s="67">
        <f t="shared" si="98"/>
        <v>0</v>
      </c>
      <c r="V158" s="67">
        <f t="shared" si="99"/>
        <v>0</v>
      </c>
      <c r="W158" s="44">
        <f t="shared" si="100"/>
        <v>1</v>
      </c>
      <c r="X158" s="44">
        <f t="shared" si="101"/>
        <v>0</v>
      </c>
      <c r="Y158" s="45">
        <f t="shared" si="102"/>
        <v>1</v>
      </c>
      <c r="Z158" s="103">
        <f t="shared" si="103"/>
        <v>111.58</v>
      </c>
      <c r="AA158" s="103">
        <f>Q158*E158</f>
        <v>0</v>
      </c>
      <c r="AB158" s="103">
        <f t="shared" si="104"/>
        <v>111.58</v>
      </c>
      <c r="AC158" s="5"/>
    </row>
    <row r="159" spans="1:42" s="91" customFormat="1">
      <c r="A159" s="39" t="s">
        <v>227</v>
      </c>
      <c r="B159" s="40" t="s">
        <v>228</v>
      </c>
      <c r="C159" s="63" t="s">
        <v>15</v>
      </c>
      <c r="D159" s="64">
        <v>10</v>
      </c>
      <c r="E159" s="65">
        <v>13.39</v>
      </c>
      <c r="F159" s="41">
        <f>U159</f>
        <v>10</v>
      </c>
      <c r="G159" s="65">
        <v>10.89</v>
      </c>
      <c r="H159" s="66">
        <f t="shared" si="96"/>
        <v>133.9</v>
      </c>
      <c r="I159" s="182" t="s">
        <v>446</v>
      </c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7">
        <f t="shared" si="97"/>
        <v>0</v>
      </c>
      <c r="U159" s="67">
        <f t="shared" si="98"/>
        <v>10</v>
      </c>
      <c r="V159" s="67">
        <f t="shared" si="99"/>
        <v>133.9</v>
      </c>
      <c r="W159" s="44">
        <f t="shared" si="100"/>
        <v>0</v>
      </c>
      <c r="X159" s="44">
        <f t="shared" si="101"/>
        <v>0</v>
      </c>
      <c r="Y159" s="45">
        <f t="shared" si="102"/>
        <v>0</v>
      </c>
      <c r="Z159" s="103">
        <f t="shared" si="103"/>
        <v>0</v>
      </c>
      <c r="AA159" s="103">
        <f>S159*G159</f>
        <v>0</v>
      </c>
      <c r="AB159" s="103">
        <f t="shared" si="104"/>
        <v>0</v>
      </c>
      <c r="AC159" s="5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</row>
    <row r="160" spans="1:42">
      <c r="A160" s="219" t="s">
        <v>229</v>
      </c>
      <c r="B160" s="220" t="s">
        <v>230</v>
      </c>
      <c r="C160" s="219" t="s">
        <v>15</v>
      </c>
      <c r="D160" s="41">
        <v>5</v>
      </c>
      <c r="E160" s="42">
        <v>24.53</v>
      </c>
      <c r="F160" s="232"/>
      <c r="G160" s="42">
        <v>19.940000000000001</v>
      </c>
      <c r="H160" s="43">
        <f t="shared" si="96"/>
        <v>122.65</v>
      </c>
      <c r="I160" s="233" t="s">
        <v>446</v>
      </c>
      <c r="J160" s="64">
        <v>5</v>
      </c>
      <c r="K160" s="64"/>
      <c r="L160" s="64"/>
      <c r="M160" s="64"/>
      <c r="N160" s="64"/>
      <c r="O160" s="64"/>
      <c r="P160" s="64"/>
      <c r="Q160" s="64"/>
      <c r="R160" s="64"/>
      <c r="S160" s="64"/>
      <c r="T160" s="67">
        <f t="shared" si="97"/>
        <v>5</v>
      </c>
      <c r="U160" s="67">
        <f t="shared" si="98"/>
        <v>0</v>
      </c>
      <c r="V160" s="67">
        <f t="shared" si="99"/>
        <v>0</v>
      </c>
      <c r="W160" s="44">
        <f t="shared" si="100"/>
        <v>1</v>
      </c>
      <c r="X160" s="44">
        <f t="shared" si="101"/>
        <v>0</v>
      </c>
      <c r="Y160" s="45">
        <f t="shared" si="102"/>
        <v>1</v>
      </c>
      <c r="Z160" s="103">
        <f t="shared" si="103"/>
        <v>122.65</v>
      </c>
      <c r="AA160" s="103">
        <f>Q160*E160</f>
        <v>0</v>
      </c>
      <c r="AB160" s="103">
        <f t="shared" si="104"/>
        <v>122.65</v>
      </c>
      <c r="AC160" s="5"/>
    </row>
    <row r="161" spans="1:42">
      <c r="A161" s="39" t="s">
        <v>231</v>
      </c>
      <c r="B161" s="40" t="s">
        <v>232</v>
      </c>
      <c r="C161" s="39" t="s">
        <v>15</v>
      </c>
      <c r="D161" s="41">
        <v>6</v>
      </c>
      <c r="E161" s="42">
        <v>29.36</v>
      </c>
      <c r="F161" s="42"/>
      <c r="G161" s="42">
        <v>23.87</v>
      </c>
      <c r="H161" s="43">
        <f t="shared" si="96"/>
        <v>176.16</v>
      </c>
      <c r="I161" s="181" t="s">
        <v>446</v>
      </c>
      <c r="J161" s="64">
        <v>6</v>
      </c>
      <c r="K161" s="64"/>
      <c r="L161" s="64"/>
      <c r="M161" s="64"/>
      <c r="N161" s="64"/>
      <c r="O161" s="64"/>
      <c r="P161" s="64"/>
      <c r="Q161" s="64"/>
      <c r="R161" s="64"/>
      <c r="S161" s="64"/>
      <c r="T161" s="67">
        <f t="shared" si="97"/>
        <v>6</v>
      </c>
      <c r="U161" s="67">
        <f t="shared" si="98"/>
        <v>0</v>
      </c>
      <c r="V161" s="67">
        <f t="shared" si="99"/>
        <v>0</v>
      </c>
      <c r="W161" s="44">
        <f t="shared" si="100"/>
        <v>1</v>
      </c>
      <c r="X161" s="44">
        <f t="shared" si="101"/>
        <v>0</v>
      </c>
      <c r="Y161" s="45">
        <f t="shared" si="102"/>
        <v>1</v>
      </c>
      <c r="Z161" s="103">
        <f t="shared" si="103"/>
        <v>176.16</v>
      </c>
      <c r="AA161" s="103">
        <f>Q161*E161</f>
        <v>0</v>
      </c>
      <c r="AB161" s="103">
        <f t="shared" si="104"/>
        <v>176.16</v>
      </c>
      <c r="AC161" s="5"/>
    </row>
    <row r="162" spans="1:42">
      <c r="A162" s="209" t="s">
        <v>233</v>
      </c>
      <c r="B162" s="210" t="s">
        <v>234</v>
      </c>
      <c r="C162" s="209" t="s">
        <v>15</v>
      </c>
      <c r="D162" s="41">
        <v>8</v>
      </c>
      <c r="E162" s="42">
        <v>9.99</v>
      </c>
      <c r="F162" s="213"/>
      <c r="G162" s="42">
        <v>8.1199999999999992</v>
      </c>
      <c r="H162" s="43">
        <f t="shared" si="96"/>
        <v>79.92</v>
      </c>
      <c r="I162" s="214" t="s">
        <v>446</v>
      </c>
      <c r="J162" s="64">
        <v>8</v>
      </c>
      <c r="K162" s="64"/>
      <c r="L162" s="64"/>
      <c r="M162" s="64"/>
      <c r="N162" s="64"/>
      <c r="O162" s="64"/>
      <c r="P162" s="64"/>
      <c r="Q162" s="64"/>
      <c r="R162" s="64"/>
      <c r="S162" s="64"/>
      <c r="T162" s="67">
        <f t="shared" si="97"/>
        <v>8</v>
      </c>
      <c r="U162" s="67">
        <f t="shared" si="98"/>
        <v>0</v>
      </c>
      <c r="V162" s="67">
        <f t="shared" si="99"/>
        <v>0</v>
      </c>
      <c r="W162" s="44">
        <f t="shared" si="100"/>
        <v>1</v>
      </c>
      <c r="X162" s="44">
        <f t="shared" si="101"/>
        <v>0</v>
      </c>
      <c r="Y162" s="45">
        <f t="shared" si="102"/>
        <v>1</v>
      </c>
      <c r="Z162" s="103">
        <f t="shared" si="103"/>
        <v>79.92</v>
      </c>
      <c r="AA162" s="103">
        <f>Q162*E162</f>
        <v>0</v>
      </c>
      <c r="AB162" s="103">
        <f t="shared" si="104"/>
        <v>79.92</v>
      </c>
      <c r="AC162" s="5"/>
    </row>
    <row r="163" spans="1:42" s="91" customFormat="1">
      <c r="A163" s="39" t="s">
        <v>235</v>
      </c>
      <c r="B163" s="40" t="s">
        <v>236</v>
      </c>
      <c r="C163" s="63" t="s">
        <v>15</v>
      </c>
      <c r="D163" s="64">
        <v>9</v>
      </c>
      <c r="E163" s="65">
        <v>16.86</v>
      </c>
      <c r="F163" s="41">
        <f>U163</f>
        <v>9</v>
      </c>
      <c r="G163" s="65">
        <v>13.71</v>
      </c>
      <c r="H163" s="66">
        <f t="shared" si="96"/>
        <v>151.74</v>
      </c>
      <c r="I163" s="235" t="s">
        <v>503</v>
      </c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7">
        <f t="shared" si="97"/>
        <v>0</v>
      </c>
      <c r="U163" s="67">
        <f t="shared" si="98"/>
        <v>9</v>
      </c>
      <c r="V163" s="67">
        <f t="shared" si="99"/>
        <v>151.74</v>
      </c>
      <c r="W163" s="44">
        <f t="shared" si="100"/>
        <v>0</v>
      </c>
      <c r="X163" s="44">
        <f t="shared" si="101"/>
        <v>0</v>
      </c>
      <c r="Y163" s="45">
        <f t="shared" si="102"/>
        <v>0</v>
      </c>
      <c r="Z163" s="103">
        <f t="shared" si="103"/>
        <v>0</v>
      </c>
      <c r="AA163" s="103">
        <f>S163*G163</f>
        <v>0</v>
      </c>
      <c r="AB163" s="103">
        <f t="shared" si="104"/>
        <v>0</v>
      </c>
      <c r="AC163" s="5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</row>
    <row r="164" spans="1:42" s="91" customFormat="1">
      <c r="A164" s="219" t="s">
        <v>237</v>
      </c>
      <c r="B164" s="220" t="s">
        <v>238</v>
      </c>
      <c r="C164" s="221" t="s">
        <v>15</v>
      </c>
      <c r="D164" s="64">
        <v>1</v>
      </c>
      <c r="E164" s="65">
        <v>1434.2</v>
      </c>
      <c r="F164" s="222"/>
      <c r="G164" s="65">
        <v>1166.02</v>
      </c>
      <c r="H164" s="66">
        <f t="shared" si="96"/>
        <v>1434.2</v>
      </c>
      <c r="I164" s="223" t="s">
        <v>446</v>
      </c>
      <c r="J164" s="64"/>
      <c r="K164" s="64">
        <v>1</v>
      </c>
      <c r="L164" s="64"/>
      <c r="M164" s="64"/>
      <c r="N164" s="64"/>
      <c r="O164" s="64"/>
      <c r="P164" s="64"/>
      <c r="Q164" s="64"/>
      <c r="R164" s="64"/>
      <c r="S164" s="64"/>
      <c r="T164" s="67">
        <f t="shared" si="97"/>
        <v>1</v>
      </c>
      <c r="U164" s="67">
        <f t="shared" si="98"/>
        <v>0</v>
      </c>
      <c r="V164" s="67">
        <f t="shared" si="99"/>
        <v>0</v>
      </c>
      <c r="W164" s="44">
        <f t="shared" si="100"/>
        <v>1</v>
      </c>
      <c r="X164" s="44">
        <f t="shared" si="101"/>
        <v>0</v>
      </c>
      <c r="Y164" s="45">
        <f t="shared" si="102"/>
        <v>1</v>
      </c>
      <c r="Z164" s="103">
        <f t="shared" si="103"/>
        <v>1434.2</v>
      </c>
      <c r="AA164" s="103">
        <f t="shared" ref="AA164:AA169" si="105">Q164*E164</f>
        <v>0</v>
      </c>
      <c r="AB164" s="103">
        <f t="shared" si="104"/>
        <v>1434.2</v>
      </c>
      <c r="AC164" s="5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</row>
    <row r="165" spans="1:42">
      <c r="A165" s="39" t="s">
        <v>239</v>
      </c>
      <c r="B165" s="40" t="s">
        <v>240</v>
      </c>
      <c r="C165" s="39" t="s">
        <v>15</v>
      </c>
      <c r="D165" s="41">
        <v>1</v>
      </c>
      <c r="E165" s="42">
        <v>29.94</v>
      </c>
      <c r="F165" s="42"/>
      <c r="G165" s="42">
        <v>24.34</v>
      </c>
      <c r="H165" s="43">
        <f t="shared" si="96"/>
        <v>29.94</v>
      </c>
      <c r="I165" s="181" t="s">
        <v>446</v>
      </c>
      <c r="J165" s="64">
        <v>1</v>
      </c>
      <c r="K165" s="64"/>
      <c r="L165" s="64"/>
      <c r="M165" s="64"/>
      <c r="N165" s="64"/>
      <c r="O165" s="64"/>
      <c r="P165" s="64"/>
      <c r="Q165" s="64"/>
      <c r="R165" s="64"/>
      <c r="S165" s="64"/>
      <c r="T165" s="67">
        <f t="shared" si="97"/>
        <v>1</v>
      </c>
      <c r="U165" s="67">
        <f t="shared" si="98"/>
        <v>0</v>
      </c>
      <c r="V165" s="67">
        <f t="shared" si="99"/>
        <v>0</v>
      </c>
      <c r="W165" s="44">
        <f t="shared" si="100"/>
        <v>1</v>
      </c>
      <c r="X165" s="44">
        <f t="shared" si="101"/>
        <v>0</v>
      </c>
      <c r="Y165" s="45">
        <f t="shared" si="102"/>
        <v>1</v>
      </c>
      <c r="Z165" s="103">
        <f t="shared" si="103"/>
        <v>29.94</v>
      </c>
      <c r="AA165" s="103">
        <f t="shared" si="105"/>
        <v>0</v>
      </c>
      <c r="AB165" s="103">
        <f t="shared" si="104"/>
        <v>29.94</v>
      </c>
      <c r="AC165" s="5"/>
    </row>
    <row r="166" spans="1:42">
      <c r="A166" s="39" t="s">
        <v>241</v>
      </c>
      <c r="B166" s="40" t="s">
        <v>242</v>
      </c>
      <c r="C166" s="39" t="s">
        <v>105</v>
      </c>
      <c r="D166" s="41">
        <v>3</v>
      </c>
      <c r="E166" s="42">
        <v>16.05</v>
      </c>
      <c r="F166" s="42"/>
      <c r="G166" s="42">
        <v>13.05</v>
      </c>
      <c r="H166" s="43">
        <f t="shared" si="96"/>
        <v>48.15</v>
      </c>
      <c r="I166" s="181" t="s">
        <v>446</v>
      </c>
      <c r="J166" s="64">
        <v>3</v>
      </c>
      <c r="K166" s="64"/>
      <c r="L166" s="64"/>
      <c r="M166" s="64"/>
      <c r="N166" s="64"/>
      <c r="O166" s="64"/>
      <c r="P166" s="64"/>
      <c r="Q166" s="64"/>
      <c r="R166" s="64"/>
      <c r="S166" s="64"/>
      <c r="T166" s="67">
        <f t="shared" si="97"/>
        <v>3</v>
      </c>
      <c r="U166" s="67">
        <f t="shared" si="98"/>
        <v>0</v>
      </c>
      <c r="V166" s="67">
        <f t="shared" si="99"/>
        <v>0</v>
      </c>
      <c r="W166" s="44">
        <f t="shared" si="100"/>
        <v>1</v>
      </c>
      <c r="X166" s="44">
        <f t="shared" si="101"/>
        <v>0</v>
      </c>
      <c r="Y166" s="45">
        <f t="shared" si="102"/>
        <v>1</v>
      </c>
      <c r="Z166" s="103">
        <f t="shared" si="103"/>
        <v>48.150000000000006</v>
      </c>
      <c r="AA166" s="103">
        <f t="shared" si="105"/>
        <v>0</v>
      </c>
      <c r="AB166" s="103">
        <f t="shared" si="104"/>
        <v>48.150000000000006</v>
      </c>
      <c r="AC166" s="5"/>
    </row>
    <row r="167" spans="1:42">
      <c r="A167" s="39" t="s">
        <v>243</v>
      </c>
      <c r="B167" s="40" t="s">
        <v>244</v>
      </c>
      <c r="C167" s="39" t="s">
        <v>105</v>
      </c>
      <c r="D167" s="41">
        <v>35</v>
      </c>
      <c r="E167" s="42">
        <v>29.05</v>
      </c>
      <c r="F167" s="42"/>
      <c r="G167" s="42">
        <v>23.62</v>
      </c>
      <c r="H167" s="43">
        <f t="shared" si="96"/>
        <v>1016.75</v>
      </c>
      <c r="I167" s="181" t="s">
        <v>446</v>
      </c>
      <c r="J167" s="64">
        <v>35</v>
      </c>
      <c r="K167" s="64"/>
      <c r="L167" s="64"/>
      <c r="M167" s="64"/>
      <c r="N167" s="64"/>
      <c r="O167" s="64"/>
      <c r="P167" s="64"/>
      <c r="Q167" s="64"/>
      <c r="R167" s="64"/>
      <c r="S167" s="64"/>
      <c r="T167" s="67">
        <f t="shared" si="97"/>
        <v>35</v>
      </c>
      <c r="U167" s="67">
        <f t="shared" si="98"/>
        <v>0</v>
      </c>
      <c r="V167" s="67">
        <f t="shared" si="99"/>
        <v>0</v>
      </c>
      <c r="W167" s="44">
        <f t="shared" si="100"/>
        <v>1</v>
      </c>
      <c r="X167" s="44">
        <f t="shared" si="101"/>
        <v>0</v>
      </c>
      <c r="Y167" s="45">
        <f t="shared" si="102"/>
        <v>1</v>
      </c>
      <c r="Z167" s="103">
        <f t="shared" si="103"/>
        <v>1016.75</v>
      </c>
      <c r="AA167" s="103">
        <f t="shared" si="105"/>
        <v>0</v>
      </c>
      <c r="AB167" s="103">
        <f t="shared" si="104"/>
        <v>1016.75</v>
      </c>
      <c r="AC167" s="5"/>
    </row>
    <row r="168" spans="1:42">
      <c r="A168" s="39" t="s">
        <v>245</v>
      </c>
      <c r="B168" s="40" t="s">
        <v>246</v>
      </c>
      <c r="C168" s="39" t="s">
        <v>105</v>
      </c>
      <c r="D168" s="41">
        <v>20</v>
      </c>
      <c r="E168" s="42">
        <v>11.78</v>
      </c>
      <c r="F168" s="42"/>
      <c r="G168" s="42">
        <v>9.58</v>
      </c>
      <c r="H168" s="43">
        <f t="shared" si="96"/>
        <v>235.6</v>
      </c>
      <c r="I168" s="181" t="s">
        <v>446</v>
      </c>
      <c r="J168" s="64">
        <v>20</v>
      </c>
      <c r="K168" s="64"/>
      <c r="L168" s="64"/>
      <c r="M168" s="64"/>
      <c r="N168" s="64"/>
      <c r="O168" s="64"/>
      <c r="P168" s="64"/>
      <c r="Q168" s="64"/>
      <c r="R168" s="64"/>
      <c r="S168" s="64"/>
      <c r="T168" s="67">
        <f t="shared" si="97"/>
        <v>20</v>
      </c>
      <c r="U168" s="67">
        <f t="shared" si="98"/>
        <v>0</v>
      </c>
      <c r="V168" s="67">
        <f t="shared" si="99"/>
        <v>0</v>
      </c>
      <c r="W168" s="44">
        <f t="shared" si="100"/>
        <v>1</v>
      </c>
      <c r="X168" s="44">
        <f t="shared" si="101"/>
        <v>0</v>
      </c>
      <c r="Y168" s="45">
        <f t="shared" si="102"/>
        <v>1</v>
      </c>
      <c r="Z168" s="103">
        <f t="shared" si="103"/>
        <v>235.6</v>
      </c>
      <c r="AA168" s="103">
        <f t="shared" si="105"/>
        <v>0</v>
      </c>
      <c r="AB168" s="103">
        <f t="shared" si="104"/>
        <v>235.6</v>
      </c>
      <c r="AC168" s="5"/>
    </row>
    <row r="169" spans="1:42">
      <c r="A169" s="209" t="s">
        <v>247</v>
      </c>
      <c r="B169" s="210" t="s">
        <v>248</v>
      </c>
      <c r="C169" s="209" t="s">
        <v>105</v>
      </c>
      <c r="D169" s="41">
        <v>17</v>
      </c>
      <c r="E169" s="42">
        <v>16.59</v>
      </c>
      <c r="F169" s="213"/>
      <c r="G169" s="42">
        <v>13.49</v>
      </c>
      <c r="H169" s="43">
        <f t="shared" si="96"/>
        <v>282.02999999999997</v>
      </c>
      <c r="I169" s="214" t="s">
        <v>446</v>
      </c>
      <c r="J169" s="64">
        <v>17</v>
      </c>
      <c r="K169" s="64"/>
      <c r="L169" s="64"/>
      <c r="M169" s="64"/>
      <c r="N169" s="64"/>
      <c r="O169" s="64"/>
      <c r="P169" s="64"/>
      <c r="Q169" s="64"/>
      <c r="R169" s="64"/>
      <c r="S169" s="64"/>
      <c r="T169" s="67">
        <f t="shared" si="97"/>
        <v>17</v>
      </c>
      <c r="U169" s="67">
        <f t="shared" si="98"/>
        <v>0</v>
      </c>
      <c r="V169" s="67">
        <f t="shared" si="99"/>
        <v>0</v>
      </c>
      <c r="W169" s="44">
        <f t="shared" si="100"/>
        <v>1</v>
      </c>
      <c r="X169" s="44">
        <f t="shared" si="101"/>
        <v>0</v>
      </c>
      <c r="Y169" s="45">
        <f t="shared" si="102"/>
        <v>1</v>
      </c>
      <c r="Z169" s="103">
        <f t="shared" si="103"/>
        <v>282.02999999999997</v>
      </c>
      <c r="AA169" s="103">
        <f t="shared" si="105"/>
        <v>0</v>
      </c>
      <c r="AB169" s="103">
        <f t="shared" si="104"/>
        <v>282.02999999999997</v>
      </c>
      <c r="AC169" s="5"/>
    </row>
    <row r="170" spans="1:42" s="91" customFormat="1">
      <c r="A170" s="39" t="s">
        <v>249</v>
      </c>
      <c r="B170" s="40" t="s">
        <v>250</v>
      </c>
      <c r="C170" s="63" t="s">
        <v>15</v>
      </c>
      <c r="D170" s="64">
        <v>9</v>
      </c>
      <c r="E170" s="65">
        <v>15.45</v>
      </c>
      <c r="F170" s="41">
        <f>U170</f>
        <v>9</v>
      </c>
      <c r="G170" s="65">
        <v>12.56</v>
      </c>
      <c r="H170" s="66">
        <f t="shared" si="96"/>
        <v>139.05000000000001</v>
      </c>
      <c r="I170" s="182" t="s">
        <v>446</v>
      </c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7">
        <f t="shared" si="97"/>
        <v>0</v>
      </c>
      <c r="U170" s="67">
        <f t="shared" si="98"/>
        <v>9</v>
      </c>
      <c r="V170" s="67">
        <f t="shared" si="99"/>
        <v>139.04999999999998</v>
      </c>
      <c r="W170" s="44">
        <f t="shared" si="100"/>
        <v>0</v>
      </c>
      <c r="X170" s="44">
        <f t="shared" si="101"/>
        <v>0</v>
      </c>
      <c r="Y170" s="45">
        <f t="shared" si="102"/>
        <v>0</v>
      </c>
      <c r="Z170" s="103">
        <f t="shared" si="103"/>
        <v>0</v>
      </c>
      <c r="AA170" s="103">
        <f>S170*G170</f>
        <v>0</v>
      </c>
      <c r="AB170" s="103">
        <f t="shared" si="104"/>
        <v>0</v>
      </c>
      <c r="AC170" s="5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</row>
    <row r="171" spans="1:42" s="91" customFormat="1">
      <c r="A171" s="229"/>
      <c r="B171" s="229"/>
      <c r="C171" s="229"/>
      <c r="D171" s="60"/>
      <c r="E171" s="65"/>
      <c r="F171" s="217"/>
      <c r="G171" s="65">
        <v>0</v>
      </c>
      <c r="H171" s="61"/>
      <c r="I171" s="23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67">
        <f t="shared" si="97"/>
        <v>0</v>
      </c>
      <c r="U171" s="81"/>
      <c r="V171" s="67">
        <f t="shared" si="99"/>
        <v>0</v>
      </c>
      <c r="W171" s="44">
        <v>0</v>
      </c>
      <c r="X171" s="44">
        <f t="shared" si="101"/>
        <v>0</v>
      </c>
      <c r="Y171" s="45">
        <f t="shared" si="102"/>
        <v>0</v>
      </c>
      <c r="Z171" s="103">
        <f>(J171+K171+L171+M171)*E171</f>
        <v>0</v>
      </c>
      <c r="AA171" s="103">
        <f>Q171*E171</f>
        <v>0</v>
      </c>
      <c r="AB171" s="103">
        <f>(J171+K171+L171+M171+N171)*E171</f>
        <v>0</v>
      </c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</row>
    <row r="172" spans="1:42" s="95" customFormat="1">
      <c r="A172" s="175">
        <v>13</v>
      </c>
      <c r="B172" s="33" t="s">
        <v>251</v>
      </c>
      <c r="C172" s="34"/>
      <c r="D172" s="68"/>
      <c r="E172" s="69">
        <v>0</v>
      </c>
      <c r="F172" s="69"/>
      <c r="G172" s="69">
        <v>0</v>
      </c>
      <c r="H172" s="70">
        <f>SUM(H173:H177)</f>
        <v>18102.2</v>
      </c>
      <c r="I172" s="189"/>
      <c r="J172" s="62"/>
      <c r="K172" s="62"/>
      <c r="L172" s="115"/>
      <c r="M172" s="62"/>
      <c r="N172" s="62"/>
      <c r="O172" s="62"/>
      <c r="P172" s="62"/>
      <c r="Q172" s="62"/>
      <c r="R172" s="115"/>
      <c r="S172" s="62"/>
      <c r="T172" s="62"/>
      <c r="U172" s="62"/>
      <c r="V172" s="70" t="e">
        <f>SUM(V173:V177)</f>
        <v>#REF!</v>
      </c>
      <c r="W172" s="62"/>
      <c r="X172" s="155"/>
      <c r="Y172" s="78">
        <f>J172</f>
        <v>0</v>
      </c>
      <c r="Z172" s="70">
        <f>SUM(Z173:Z177)</f>
        <v>1487.44</v>
      </c>
      <c r="AA172" s="70" t="e">
        <f>SUM(AA173:AA177)</f>
        <v>#REF!</v>
      </c>
      <c r="AB172" s="70">
        <f>SUM(AB173:AB177)</f>
        <v>1487.44</v>
      </c>
      <c r="AC172" s="1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</row>
    <row r="173" spans="1:42" s="91" customFormat="1">
      <c r="A173" s="39" t="s">
        <v>252</v>
      </c>
      <c r="B173" s="40" t="s">
        <v>253</v>
      </c>
      <c r="C173" s="63" t="s">
        <v>105</v>
      </c>
      <c r="D173" s="64">
        <v>72</v>
      </c>
      <c r="E173" s="65">
        <v>37.28</v>
      </c>
      <c r="F173" s="41">
        <f>U173</f>
        <v>72</v>
      </c>
      <c r="G173" s="65">
        <v>30.31</v>
      </c>
      <c r="H173" s="66">
        <f>ROUND(D173*E173,2)</f>
        <v>2684.16</v>
      </c>
      <c r="I173" s="235" t="s">
        <v>504</v>
      </c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>
        <f t="shared" ref="T173:T178" si="106">SUM(J173:S173)</f>
        <v>0</v>
      </c>
      <c r="U173" s="67">
        <f>D173-T173</f>
        <v>72</v>
      </c>
      <c r="V173" s="67">
        <f t="shared" ref="V173:V178" si="107">U173*E173</f>
        <v>2684.16</v>
      </c>
      <c r="W173" s="44">
        <f t="shared" ref="W173:W177" si="108">(SUM(J173:R173))/D173</f>
        <v>0</v>
      </c>
      <c r="X173" s="44">
        <f t="shared" ref="X173:X178" si="109">IF(D173=0,0,S173/D173)</f>
        <v>0</v>
      </c>
      <c r="Y173" s="45">
        <f t="shared" ref="Y173:Y178" si="110">W173+X173</f>
        <v>0</v>
      </c>
      <c r="Z173" s="103">
        <f>(J173+K173+L173+M173+N173)*E173</f>
        <v>0</v>
      </c>
      <c r="AA173" s="103">
        <f>S173*G173</f>
        <v>0</v>
      </c>
      <c r="AB173" s="103">
        <f>(J173+K173+L173+M173+N173+O173)*E173</f>
        <v>0</v>
      </c>
      <c r="AC173" s="5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</row>
    <row r="174" spans="1:42" s="91" customFormat="1">
      <c r="A174" s="219" t="s">
        <v>254</v>
      </c>
      <c r="B174" s="220" t="s">
        <v>255</v>
      </c>
      <c r="C174" s="221" t="s">
        <v>105</v>
      </c>
      <c r="D174" s="64">
        <v>20</v>
      </c>
      <c r="E174" s="65">
        <v>59.72</v>
      </c>
      <c r="F174" s="222"/>
      <c r="G174" s="65">
        <v>48.55</v>
      </c>
      <c r="H174" s="66">
        <f>ROUND(D174*E174,2)</f>
        <v>1194.4000000000001</v>
      </c>
      <c r="I174" s="223" t="s">
        <v>446</v>
      </c>
      <c r="J174" s="67"/>
      <c r="K174" s="67">
        <v>20</v>
      </c>
      <c r="L174" s="67"/>
      <c r="M174" s="67"/>
      <c r="N174" s="67"/>
      <c r="O174" s="67"/>
      <c r="P174" s="67"/>
      <c r="Q174" s="67"/>
      <c r="R174" s="67"/>
      <c r="S174" s="67"/>
      <c r="T174" s="67">
        <f t="shared" si="106"/>
        <v>20</v>
      </c>
      <c r="U174" s="67">
        <f>D174-T174</f>
        <v>0</v>
      </c>
      <c r="V174" s="67">
        <f t="shared" si="107"/>
        <v>0</v>
      </c>
      <c r="W174" s="44">
        <f t="shared" si="108"/>
        <v>1</v>
      </c>
      <c r="X174" s="44">
        <f t="shared" si="109"/>
        <v>0</v>
      </c>
      <c r="Y174" s="45">
        <f t="shared" si="110"/>
        <v>1</v>
      </c>
      <c r="Z174" s="103">
        <f>(J174+K174+L174+M174+N174)*E174</f>
        <v>1194.4000000000001</v>
      </c>
      <c r="AA174" s="103">
        <f>Q174*E174</f>
        <v>0</v>
      </c>
      <c r="AB174" s="103">
        <f>(J174+K174+L174+M174+N174+O174)*E174</f>
        <v>1194.4000000000001</v>
      </c>
      <c r="AC174" s="5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</row>
    <row r="175" spans="1:42" s="91" customFormat="1">
      <c r="A175" s="209" t="s">
        <v>256</v>
      </c>
      <c r="B175" s="210" t="s">
        <v>257</v>
      </c>
      <c r="C175" s="211" t="s">
        <v>105</v>
      </c>
      <c r="D175" s="64">
        <v>4</v>
      </c>
      <c r="E175" s="65">
        <v>73.260000000000005</v>
      </c>
      <c r="F175" s="207"/>
      <c r="G175" s="65">
        <v>59.56</v>
      </c>
      <c r="H175" s="66">
        <f>ROUND(D175*E175,2)</f>
        <v>293.04000000000002</v>
      </c>
      <c r="I175" s="212" t="s">
        <v>446</v>
      </c>
      <c r="J175" s="67"/>
      <c r="K175" s="67">
        <v>4</v>
      </c>
      <c r="L175" s="67"/>
      <c r="M175" s="67"/>
      <c r="N175" s="67"/>
      <c r="O175" s="67"/>
      <c r="P175" s="67"/>
      <c r="Q175" s="67"/>
      <c r="R175" s="67"/>
      <c r="S175" s="67"/>
      <c r="T175" s="67">
        <f t="shared" si="106"/>
        <v>4</v>
      </c>
      <c r="U175" s="67">
        <f>D175-T175</f>
        <v>0</v>
      </c>
      <c r="V175" s="67">
        <f t="shared" si="107"/>
        <v>0</v>
      </c>
      <c r="W175" s="44">
        <f t="shared" si="108"/>
        <v>1</v>
      </c>
      <c r="X175" s="44">
        <f t="shared" si="109"/>
        <v>0</v>
      </c>
      <c r="Y175" s="45">
        <f t="shared" si="110"/>
        <v>1</v>
      </c>
      <c r="Z175" s="103">
        <f>(J175+K175+L175+M175+N175)*E175</f>
        <v>293.04000000000002</v>
      </c>
      <c r="AA175" s="103">
        <f>Q175*E175</f>
        <v>0</v>
      </c>
      <c r="AB175" s="103">
        <f>(J175+K175+L175+M175+N175+O175)*E175</f>
        <v>293.04000000000002</v>
      </c>
      <c r="AC175" s="5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</row>
    <row r="176" spans="1:42" s="91" customFormat="1" ht="25.5">
      <c r="A176" s="39" t="s">
        <v>258</v>
      </c>
      <c r="B176" s="40" t="s">
        <v>259</v>
      </c>
      <c r="C176" s="63" t="s">
        <v>15</v>
      </c>
      <c r="D176" s="64">
        <v>4</v>
      </c>
      <c r="E176" s="65">
        <v>31.51</v>
      </c>
      <c r="F176" s="41">
        <f t="shared" ref="F176:F177" si="111">U176</f>
        <v>4</v>
      </c>
      <c r="G176" s="65">
        <v>25.62</v>
      </c>
      <c r="H176" s="66">
        <f>ROUND(D176*E176,2)</f>
        <v>126.04</v>
      </c>
      <c r="I176" s="235" t="s">
        <v>505</v>
      </c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>
        <f t="shared" si="106"/>
        <v>0</v>
      </c>
      <c r="U176" s="67">
        <f>D176-T176</f>
        <v>4</v>
      </c>
      <c r="V176" s="67">
        <f t="shared" si="107"/>
        <v>126.04</v>
      </c>
      <c r="W176" s="44">
        <f t="shared" si="108"/>
        <v>0</v>
      </c>
      <c r="X176" s="44">
        <f t="shared" si="109"/>
        <v>0</v>
      </c>
      <c r="Y176" s="45">
        <f t="shared" si="110"/>
        <v>0</v>
      </c>
      <c r="Z176" s="103">
        <f>(J176+K176+L176+M176+N176)*E176</f>
        <v>0</v>
      </c>
      <c r="AA176" s="103">
        <f t="shared" ref="AA176:AA177" si="112">S176*G176</f>
        <v>0</v>
      </c>
      <c r="AB176" s="103">
        <f>(J176+K176+L176+M176+N176+O176)*E176</f>
        <v>0</v>
      </c>
      <c r="AC176" s="5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</row>
    <row r="177" spans="1:42" s="91" customFormat="1" ht="25.5">
      <c r="A177" s="39" t="s">
        <v>260</v>
      </c>
      <c r="B177" s="40" t="s">
        <v>261</v>
      </c>
      <c r="C177" s="63" t="s">
        <v>105</v>
      </c>
      <c r="D177" s="64">
        <v>72</v>
      </c>
      <c r="E177" s="65">
        <v>191.73</v>
      </c>
      <c r="F177" s="41" t="e">
        <f t="shared" si="111"/>
        <v>#REF!</v>
      </c>
      <c r="G177" s="65">
        <v>155.88</v>
      </c>
      <c r="H177" s="66">
        <f>ROUND(D177*E177,2)</f>
        <v>13804.56</v>
      </c>
      <c r="I177" s="235" t="s">
        <v>506</v>
      </c>
      <c r="J177" s="67"/>
      <c r="K177" s="67"/>
      <c r="L177" s="67"/>
      <c r="M177" s="67"/>
      <c r="N177" s="67"/>
      <c r="O177" s="67"/>
      <c r="P177" s="67"/>
      <c r="Q177" s="67"/>
      <c r="R177" s="67"/>
      <c r="S177" s="67" t="e">
        <f>#REF!</f>
        <v>#REF!</v>
      </c>
      <c r="T177" s="67" t="e">
        <f t="shared" si="106"/>
        <v>#REF!</v>
      </c>
      <c r="U177" s="67" t="e">
        <f>D177-T177</f>
        <v>#REF!</v>
      </c>
      <c r="V177" s="67" t="e">
        <f t="shared" si="107"/>
        <v>#REF!</v>
      </c>
      <c r="W177" s="44">
        <f t="shared" si="108"/>
        <v>0</v>
      </c>
      <c r="X177" s="44" t="e">
        <f t="shared" si="109"/>
        <v>#REF!</v>
      </c>
      <c r="Y177" s="45" t="e">
        <f t="shared" si="110"/>
        <v>#REF!</v>
      </c>
      <c r="Z177" s="103">
        <f>(J177+K177+L177+M177+N177)*E177</f>
        <v>0</v>
      </c>
      <c r="AA177" s="103" t="e">
        <f t="shared" si="112"/>
        <v>#REF!</v>
      </c>
      <c r="AB177" s="103">
        <f>(J177+K177+L177+M177+N177+O177)*E177</f>
        <v>0</v>
      </c>
      <c r="AC177" s="5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</row>
    <row r="178" spans="1:42" s="91" customFormat="1">
      <c r="A178" s="229"/>
      <c r="B178" s="229"/>
      <c r="C178" s="229"/>
      <c r="D178" s="60"/>
      <c r="E178" s="65"/>
      <c r="F178" s="217"/>
      <c r="G178" s="65">
        <v>0</v>
      </c>
      <c r="H178" s="61"/>
      <c r="I178" s="23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67">
        <f t="shared" si="106"/>
        <v>0</v>
      </c>
      <c r="U178" s="81"/>
      <c r="V178" s="67">
        <f t="shared" si="107"/>
        <v>0</v>
      </c>
      <c r="W178" s="44">
        <v>0</v>
      </c>
      <c r="X178" s="44">
        <f t="shared" si="109"/>
        <v>0</v>
      </c>
      <c r="Y178" s="45">
        <f t="shared" si="110"/>
        <v>0</v>
      </c>
      <c r="Z178" s="103">
        <f>(J178+K178+L178+M178)*E178</f>
        <v>0</v>
      </c>
      <c r="AA178" s="103">
        <f>Q178*E178</f>
        <v>0</v>
      </c>
      <c r="AB178" s="103">
        <f>(J178+K178+L178+M178+N178)*E178</f>
        <v>0</v>
      </c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</row>
    <row r="179" spans="1:42" s="93" customFormat="1">
      <c r="A179" s="175">
        <v>14</v>
      </c>
      <c r="B179" s="33" t="s">
        <v>262</v>
      </c>
      <c r="C179" s="34"/>
      <c r="D179" s="35"/>
      <c r="E179" s="36">
        <v>0</v>
      </c>
      <c r="F179" s="36"/>
      <c r="G179" s="36">
        <v>0</v>
      </c>
      <c r="H179" s="48">
        <f>SUM(H180:H209)</f>
        <v>24110.28</v>
      </c>
      <c r="I179" s="50"/>
      <c r="J179" s="82"/>
      <c r="K179" s="82"/>
      <c r="L179" s="117"/>
      <c r="M179" s="82"/>
      <c r="N179" s="82"/>
      <c r="O179" s="82"/>
      <c r="P179" s="82"/>
      <c r="Q179" s="82"/>
      <c r="R179" s="117"/>
      <c r="S179" s="82"/>
      <c r="T179" s="82"/>
      <c r="U179" s="82"/>
      <c r="V179" s="48" t="e">
        <f>SUM(V180:V209)</f>
        <v>#REF!</v>
      </c>
      <c r="W179" s="49"/>
      <c r="X179" s="155"/>
      <c r="Y179" s="49"/>
      <c r="Z179" s="48">
        <f>SUM(Z180:Z209)</f>
        <v>4211.92</v>
      </c>
      <c r="AA179" s="48" t="e">
        <f>SUM(AA180:AA209)</f>
        <v>#REF!</v>
      </c>
      <c r="AB179" s="48">
        <f>SUM(AB180:AB209)</f>
        <v>4211.92</v>
      </c>
      <c r="AC179" s="1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</row>
    <row r="180" spans="1:42" s="91" customFormat="1" ht="25.5">
      <c r="A180" s="39" t="s">
        <v>263</v>
      </c>
      <c r="B180" s="40" t="s">
        <v>264</v>
      </c>
      <c r="C180" s="63" t="s">
        <v>15</v>
      </c>
      <c r="D180" s="64">
        <v>5</v>
      </c>
      <c r="E180" s="65">
        <v>16.170000000000002</v>
      </c>
      <c r="F180" s="41">
        <f t="shared" ref="F180:F184" si="113">U180</f>
        <v>5</v>
      </c>
      <c r="G180" s="65">
        <v>13.15</v>
      </c>
      <c r="H180" s="66">
        <f t="shared" ref="H180:H209" si="114">ROUND(D180*E180,2)</f>
        <v>80.849999999999994</v>
      </c>
      <c r="I180" s="235" t="s">
        <v>507</v>
      </c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7">
        <f t="shared" ref="T180:T210" si="115">SUM(J180:S180)</f>
        <v>0</v>
      </c>
      <c r="U180" s="67">
        <f t="shared" ref="U180:U209" si="116">D180-T180</f>
        <v>5</v>
      </c>
      <c r="V180" s="67">
        <f t="shared" ref="V180:V210" si="117">U180*E180</f>
        <v>80.850000000000009</v>
      </c>
      <c r="W180" s="44">
        <f t="shared" ref="W180:W209" si="118">(SUM(J180:R180))/D180</f>
        <v>0</v>
      </c>
      <c r="X180" s="44">
        <f t="shared" ref="X180:X210" si="119">IF(D180=0,0,S180/D180)</f>
        <v>0</v>
      </c>
      <c r="Y180" s="45">
        <f t="shared" ref="Y180:Y210" si="120">W180+X180</f>
        <v>0</v>
      </c>
      <c r="Z180" s="103">
        <f t="shared" ref="Z180:Z209" si="121">(J180+K180+L180+M180+N180)*E180</f>
        <v>0</v>
      </c>
      <c r="AA180" s="103">
        <f t="shared" ref="AA180:AA184" si="122">S180*G180</f>
        <v>0</v>
      </c>
      <c r="AB180" s="103">
        <f t="shared" ref="AB180:AB209" si="123">(J180+K180+L180+M180+N180+O180)*E180</f>
        <v>0</v>
      </c>
      <c r="AC180" s="5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</row>
    <row r="181" spans="1:42" s="91" customFormat="1" ht="25.5">
      <c r="A181" s="39" t="s">
        <v>265</v>
      </c>
      <c r="B181" s="40" t="s">
        <v>266</v>
      </c>
      <c r="C181" s="63" t="s">
        <v>15</v>
      </c>
      <c r="D181" s="64">
        <v>5</v>
      </c>
      <c r="E181" s="65">
        <v>13.86</v>
      </c>
      <c r="F181" s="41">
        <f t="shared" si="113"/>
        <v>5</v>
      </c>
      <c r="G181" s="65">
        <v>11.27</v>
      </c>
      <c r="H181" s="66">
        <f t="shared" si="114"/>
        <v>69.3</v>
      </c>
      <c r="I181" s="235" t="s">
        <v>508</v>
      </c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7">
        <f t="shared" si="115"/>
        <v>0</v>
      </c>
      <c r="U181" s="67">
        <f t="shared" si="116"/>
        <v>5</v>
      </c>
      <c r="V181" s="67">
        <f t="shared" si="117"/>
        <v>69.3</v>
      </c>
      <c r="W181" s="44">
        <f t="shared" si="118"/>
        <v>0</v>
      </c>
      <c r="X181" s="44">
        <f t="shared" si="119"/>
        <v>0</v>
      </c>
      <c r="Y181" s="45">
        <f t="shared" si="120"/>
        <v>0</v>
      </c>
      <c r="Z181" s="103">
        <f t="shared" si="121"/>
        <v>0</v>
      </c>
      <c r="AA181" s="103">
        <f t="shared" si="122"/>
        <v>0</v>
      </c>
      <c r="AB181" s="103">
        <f t="shared" si="123"/>
        <v>0</v>
      </c>
      <c r="AC181" s="5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</row>
    <row r="182" spans="1:42" s="91" customFormat="1" ht="25.5">
      <c r="A182" s="39" t="s">
        <v>267</v>
      </c>
      <c r="B182" s="40" t="s">
        <v>268</v>
      </c>
      <c r="C182" s="63" t="s">
        <v>15</v>
      </c>
      <c r="D182" s="64">
        <v>4</v>
      </c>
      <c r="E182" s="65">
        <v>16.78</v>
      </c>
      <c r="F182" s="41">
        <f t="shared" si="113"/>
        <v>4</v>
      </c>
      <c r="G182" s="65">
        <v>13.64</v>
      </c>
      <c r="H182" s="66">
        <f t="shared" si="114"/>
        <v>67.12</v>
      </c>
      <c r="I182" s="182" t="s">
        <v>446</v>
      </c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7">
        <f t="shared" si="115"/>
        <v>0</v>
      </c>
      <c r="U182" s="67">
        <f t="shared" si="116"/>
        <v>4</v>
      </c>
      <c r="V182" s="67">
        <f t="shared" si="117"/>
        <v>67.12</v>
      </c>
      <c r="W182" s="44">
        <f t="shared" si="118"/>
        <v>0</v>
      </c>
      <c r="X182" s="44">
        <f t="shared" si="119"/>
        <v>0</v>
      </c>
      <c r="Y182" s="45">
        <f t="shared" si="120"/>
        <v>0</v>
      </c>
      <c r="Z182" s="103">
        <f t="shared" si="121"/>
        <v>0</v>
      </c>
      <c r="AA182" s="103">
        <f t="shared" si="122"/>
        <v>0</v>
      </c>
      <c r="AB182" s="103">
        <f t="shared" si="123"/>
        <v>0</v>
      </c>
      <c r="AC182" s="5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</row>
    <row r="183" spans="1:42" s="91" customFormat="1" ht="25.5">
      <c r="A183" s="39" t="s">
        <v>269</v>
      </c>
      <c r="B183" s="40" t="s">
        <v>270</v>
      </c>
      <c r="C183" s="63" t="s">
        <v>15</v>
      </c>
      <c r="D183" s="64">
        <v>1</v>
      </c>
      <c r="E183" s="65">
        <v>16.8</v>
      </c>
      <c r="F183" s="41">
        <f t="shared" si="113"/>
        <v>1</v>
      </c>
      <c r="G183" s="65">
        <v>13.66</v>
      </c>
      <c r="H183" s="66">
        <f t="shared" si="114"/>
        <v>16.8</v>
      </c>
      <c r="I183" s="235" t="s">
        <v>509</v>
      </c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7">
        <f t="shared" si="115"/>
        <v>0</v>
      </c>
      <c r="U183" s="67">
        <f t="shared" si="116"/>
        <v>1</v>
      </c>
      <c r="V183" s="67">
        <f t="shared" si="117"/>
        <v>16.8</v>
      </c>
      <c r="W183" s="44">
        <f t="shared" si="118"/>
        <v>0</v>
      </c>
      <c r="X183" s="44">
        <f t="shared" si="119"/>
        <v>0</v>
      </c>
      <c r="Y183" s="45">
        <f t="shared" si="120"/>
        <v>0</v>
      </c>
      <c r="Z183" s="103">
        <f t="shared" si="121"/>
        <v>0</v>
      </c>
      <c r="AA183" s="103">
        <f t="shared" si="122"/>
        <v>0</v>
      </c>
      <c r="AB183" s="103">
        <f t="shared" si="123"/>
        <v>0</v>
      </c>
      <c r="AC183" s="5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</row>
    <row r="184" spans="1:42" s="91" customFormat="1">
      <c r="A184" s="39" t="s">
        <v>271</v>
      </c>
      <c r="B184" s="40" t="s">
        <v>272</v>
      </c>
      <c r="C184" s="63" t="s">
        <v>15</v>
      </c>
      <c r="D184" s="64">
        <v>16</v>
      </c>
      <c r="E184" s="65">
        <v>9.41</v>
      </c>
      <c r="F184" s="41">
        <f t="shared" si="113"/>
        <v>16</v>
      </c>
      <c r="G184" s="65">
        <v>7.65</v>
      </c>
      <c r="H184" s="66">
        <f t="shared" si="114"/>
        <v>150.56</v>
      </c>
      <c r="I184" s="236" t="s">
        <v>510</v>
      </c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7">
        <f t="shared" si="115"/>
        <v>0</v>
      </c>
      <c r="U184" s="67">
        <f t="shared" si="116"/>
        <v>16</v>
      </c>
      <c r="V184" s="67">
        <f t="shared" si="117"/>
        <v>150.56</v>
      </c>
      <c r="W184" s="44">
        <f t="shared" si="118"/>
        <v>0</v>
      </c>
      <c r="X184" s="44">
        <f t="shared" si="119"/>
        <v>0</v>
      </c>
      <c r="Y184" s="45">
        <f t="shared" si="120"/>
        <v>0</v>
      </c>
      <c r="Z184" s="103">
        <f t="shared" si="121"/>
        <v>0</v>
      </c>
      <c r="AA184" s="103">
        <f t="shared" si="122"/>
        <v>0</v>
      </c>
      <c r="AB184" s="103">
        <f t="shared" si="123"/>
        <v>0</v>
      </c>
      <c r="AC184" s="5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</row>
    <row r="185" spans="1:42">
      <c r="A185" s="145" t="s">
        <v>273</v>
      </c>
      <c r="B185" s="215" t="s">
        <v>274</v>
      </c>
      <c r="C185" s="145" t="s">
        <v>15</v>
      </c>
      <c r="D185" s="41">
        <v>7</v>
      </c>
      <c r="E185" s="42">
        <v>9.25</v>
      </c>
      <c r="F185" s="227"/>
      <c r="G185" s="42">
        <v>7.52</v>
      </c>
      <c r="H185" s="43">
        <f t="shared" si="114"/>
        <v>64.75</v>
      </c>
      <c r="I185" s="234" t="s">
        <v>446</v>
      </c>
      <c r="J185" s="64">
        <v>7</v>
      </c>
      <c r="K185" s="64"/>
      <c r="L185" s="64"/>
      <c r="M185" s="64"/>
      <c r="N185" s="64"/>
      <c r="O185" s="64"/>
      <c r="P185" s="64"/>
      <c r="Q185" s="64"/>
      <c r="R185" s="64"/>
      <c r="S185" s="64"/>
      <c r="T185" s="67">
        <f t="shared" si="115"/>
        <v>7</v>
      </c>
      <c r="U185" s="67">
        <f t="shared" si="116"/>
        <v>0</v>
      </c>
      <c r="V185" s="67">
        <f t="shared" si="117"/>
        <v>0</v>
      </c>
      <c r="W185" s="44">
        <f t="shared" si="118"/>
        <v>1</v>
      </c>
      <c r="X185" s="44">
        <f t="shared" si="119"/>
        <v>0</v>
      </c>
      <c r="Y185" s="45">
        <f t="shared" si="120"/>
        <v>1</v>
      </c>
      <c r="Z185" s="103">
        <f t="shared" si="121"/>
        <v>64.75</v>
      </c>
      <c r="AA185" s="103">
        <f>Q185*E185</f>
        <v>0</v>
      </c>
      <c r="AB185" s="103">
        <f t="shared" si="123"/>
        <v>64.75</v>
      </c>
      <c r="AC185" s="5"/>
    </row>
    <row r="186" spans="1:42" s="91" customFormat="1" ht="51">
      <c r="A186" s="39" t="s">
        <v>275</v>
      </c>
      <c r="B186" s="40" t="s">
        <v>276</v>
      </c>
      <c r="C186" s="63" t="s">
        <v>105</v>
      </c>
      <c r="D186" s="64">
        <v>190</v>
      </c>
      <c r="E186" s="65">
        <v>3.14</v>
      </c>
      <c r="F186" s="41" t="e">
        <f t="shared" ref="F186:F200" si="124">U186</f>
        <v>#REF!</v>
      </c>
      <c r="G186" s="65">
        <v>2.5499999999999998</v>
      </c>
      <c r="H186" s="66">
        <f t="shared" si="114"/>
        <v>596.6</v>
      </c>
      <c r="I186" s="235" t="s">
        <v>511</v>
      </c>
      <c r="J186" s="64"/>
      <c r="K186" s="64"/>
      <c r="L186" s="64"/>
      <c r="M186" s="64"/>
      <c r="N186" s="64"/>
      <c r="O186" s="64"/>
      <c r="P186" s="64"/>
      <c r="Q186" s="64"/>
      <c r="R186" s="64"/>
      <c r="S186" s="64" t="e">
        <f>#REF!</f>
        <v>#REF!</v>
      </c>
      <c r="T186" s="67" t="e">
        <f t="shared" si="115"/>
        <v>#REF!</v>
      </c>
      <c r="U186" s="67" t="e">
        <f t="shared" si="116"/>
        <v>#REF!</v>
      </c>
      <c r="V186" s="67" t="e">
        <f t="shared" si="117"/>
        <v>#REF!</v>
      </c>
      <c r="W186" s="44">
        <f t="shared" si="118"/>
        <v>0</v>
      </c>
      <c r="X186" s="44" t="e">
        <f t="shared" si="119"/>
        <v>#REF!</v>
      </c>
      <c r="Y186" s="45" t="e">
        <f t="shared" si="120"/>
        <v>#REF!</v>
      </c>
      <c r="Z186" s="103">
        <f t="shared" si="121"/>
        <v>0</v>
      </c>
      <c r="AA186" s="103" t="e">
        <f t="shared" ref="AA186:AA200" si="125">S186*G186</f>
        <v>#REF!</v>
      </c>
      <c r="AB186" s="103">
        <f t="shared" si="123"/>
        <v>0</v>
      </c>
      <c r="AC186" s="5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</row>
    <row r="187" spans="1:42" s="91" customFormat="1" ht="51">
      <c r="A187" s="39" t="s">
        <v>277</v>
      </c>
      <c r="B187" s="40" t="s">
        <v>278</v>
      </c>
      <c r="C187" s="63" t="s">
        <v>105</v>
      </c>
      <c r="D187" s="64">
        <v>820</v>
      </c>
      <c r="E187" s="65">
        <v>5.07</v>
      </c>
      <c r="F187" s="41" t="e">
        <f t="shared" si="124"/>
        <v>#REF!</v>
      </c>
      <c r="G187" s="65">
        <v>4.12</v>
      </c>
      <c r="H187" s="66">
        <f t="shared" si="114"/>
        <v>4157.3999999999996</v>
      </c>
      <c r="I187" s="235" t="s">
        <v>512</v>
      </c>
      <c r="J187" s="64"/>
      <c r="K187" s="64"/>
      <c r="L187" s="64"/>
      <c r="M187" s="64"/>
      <c r="N187" s="64"/>
      <c r="O187" s="64"/>
      <c r="P187" s="64"/>
      <c r="Q187" s="64"/>
      <c r="R187" s="64"/>
      <c r="S187" s="64" t="e">
        <f>#REF!</f>
        <v>#REF!</v>
      </c>
      <c r="T187" s="67" t="e">
        <f t="shared" si="115"/>
        <v>#REF!</v>
      </c>
      <c r="U187" s="67" t="e">
        <f t="shared" si="116"/>
        <v>#REF!</v>
      </c>
      <c r="V187" s="67" t="e">
        <f t="shared" si="117"/>
        <v>#REF!</v>
      </c>
      <c r="W187" s="44">
        <f t="shared" si="118"/>
        <v>0</v>
      </c>
      <c r="X187" s="44" t="e">
        <f t="shared" si="119"/>
        <v>#REF!</v>
      </c>
      <c r="Y187" s="45" t="e">
        <f t="shared" si="120"/>
        <v>#REF!</v>
      </c>
      <c r="Z187" s="103">
        <f t="shared" si="121"/>
        <v>0</v>
      </c>
      <c r="AA187" s="103" t="e">
        <f t="shared" si="125"/>
        <v>#REF!</v>
      </c>
      <c r="AB187" s="103">
        <f t="shared" si="123"/>
        <v>0</v>
      </c>
      <c r="AC187" s="5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</row>
    <row r="188" spans="1:42" s="91" customFormat="1" ht="51">
      <c r="A188" s="39" t="s">
        <v>279</v>
      </c>
      <c r="B188" s="40" t="s">
        <v>280</v>
      </c>
      <c r="C188" s="63" t="s">
        <v>105</v>
      </c>
      <c r="D188" s="64">
        <v>14</v>
      </c>
      <c r="E188" s="65">
        <v>17.36</v>
      </c>
      <c r="F188" s="41">
        <f t="shared" si="124"/>
        <v>14</v>
      </c>
      <c r="G188" s="65">
        <v>14.11</v>
      </c>
      <c r="H188" s="66">
        <f t="shared" si="114"/>
        <v>243.04</v>
      </c>
      <c r="I188" s="235" t="s">
        <v>513</v>
      </c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7">
        <f t="shared" si="115"/>
        <v>0</v>
      </c>
      <c r="U188" s="67">
        <f t="shared" si="116"/>
        <v>14</v>
      </c>
      <c r="V188" s="67">
        <f t="shared" si="117"/>
        <v>243.04</v>
      </c>
      <c r="W188" s="44">
        <f t="shared" si="118"/>
        <v>0</v>
      </c>
      <c r="X188" s="44">
        <f t="shared" si="119"/>
        <v>0</v>
      </c>
      <c r="Y188" s="45">
        <f t="shared" si="120"/>
        <v>0</v>
      </c>
      <c r="Z188" s="103">
        <f t="shared" si="121"/>
        <v>0</v>
      </c>
      <c r="AA188" s="103">
        <f t="shared" si="125"/>
        <v>0</v>
      </c>
      <c r="AB188" s="103">
        <f t="shared" si="123"/>
        <v>0</v>
      </c>
      <c r="AC188" s="5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</row>
    <row r="189" spans="1:42" s="91" customFormat="1" ht="51">
      <c r="A189" s="39" t="s">
        <v>281</v>
      </c>
      <c r="B189" s="40" t="s">
        <v>282</v>
      </c>
      <c r="C189" s="63" t="s">
        <v>105</v>
      </c>
      <c r="D189" s="64">
        <v>41</v>
      </c>
      <c r="E189" s="65">
        <v>21.67</v>
      </c>
      <c r="F189" s="41">
        <f t="shared" si="124"/>
        <v>41</v>
      </c>
      <c r="G189" s="65">
        <v>17.62</v>
      </c>
      <c r="H189" s="66">
        <f t="shared" si="114"/>
        <v>888.47</v>
      </c>
      <c r="I189" s="235" t="s">
        <v>514</v>
      </c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7">
        <f t="shared" si="115"/>
        <v>0</v>
      </c>
      <c r="U189" s="67">
        <f t="shared" si="116"/>
        <v>41</v>
      </c>
      <c r="V189" s="67">
        <f t="shared" si="117"/>
        <v>888.47</v>
      </c>
      <c r="W189" s="44">
        <f t="shared" si="118"/>
        <v>0</v>
      </c>
      <c r="X189" s="44">
        <f t="shared" si="119"/>
        <v>0</v>
      </c>
      <c r="Y189" s="45">
        <f t="shared" si="120"/>
        <v>0</v>
      </c>
      <c r="Z189" s="103">
        <f t="shared" si="121"/>
        <v>0</v>
      </c>
      <c r="AA189" s="103">
        <f t="shared" si="125"/>
        <v>0</v>
      </c>
      <c r="AB189" s="103">
        <f t="shared" si="123"/>
        <v>0</v>
      </c>
      <c r="AC189" s="5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</row>
    <row r="190" spans="1:42" s="91" customFormat="1">
      <c r="A190" s="39" t="s">
        <v>283</v>
      </c>
      <c r="B190" s="40" t="s">
        <v>284</v>
      </c>
      <c r="C190" s="63" t="s">
        <v>15</v>
      </c>
      <c r="D190" s="64">
        <v>2</v>
      </c>
      <c r="E190" s="65">
        <v>14.3</v>
      </c>
      <c r="F190" s="41">
        <f t="shared" si="124"/>
        <v>2</v>
      </c>
      <c r="G190" s="65">
        <v>11.63</v>
      </c>
      <c r="H190" s="66">
        <f t="shared" si="114"/>
        <v>28.6</v>
      </c>
      <c r="I190" s="235" t="s">
        <v>516</v>
      </c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7">
        <f t="shared" si="115"/>
        <v>0</v>
      </c>
      <c r="U190" s="67">
        <f t="shared" si="116"/>
        <v>2</v>
      </c>
      <c r="V190" s="67">
        <f t="shared" si="117"/>
        <v>28.6</v>
      </c>
      <c r="W190" s="44">
        <f t="shared" si="118"/>
        <v>0</v>
      </c>
      <c r="X190" s="44">
        <f t="shared" si="119"/>
        <v>0</v>
      </c>
      <c r="Y190" s="45">
        <f t="shared" si="120"/>
        <v>0</v>
      </c>
      <c r="Z190" s="103">
        <f t="shared" si="121"/>
        <v>0</v>
      </c>
      <c r="AA190" s="103">
        <f t="shared" si="125"/>
        <v>0</v>
      </c>
      <c r="AB190" s="103">
        <f t="shared" si="123"/>
        <v>0</v>
      </c>
      <c r="AC190" s="5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</row>
    <row r="191" spans="1:42" s="91" customFormat="1">
      <c r="A191" s="39" t="s">
        <v>285</v>
      </c>
      <c r="B191" s="40" t="s">
        <v>286</v>
      </c>
      <c r="C191" s="63" t="s">
        <v>15</v>
      </c>
      <c r="D191" s="64">
        <v>1</v>
      </c>
      <c r="E191" s="65">
        <v>51.71</v>
      </c>
      <c r="F191" s="41">
        <f t="shared" si="124"/>
        <v>1</v>
      </c>
      <c r="G191" s="65">
        <v>42.04</v>
      </c>
      <c r="H191" s="66">
        <f t="shared" si="114"/>
        <v>51.71</v>
      </c>
      <c r="I191" s="235" t="s">
        <v>515</v>
      </c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7">
        <f t="shared" si="115"/>
        <v>0</v>
      </c>
      <c r="U191" s="67">
        <f t="shared" si="116"/>
        <v>1</v>
      </c>
      <c r="V191" s="67">
        <f t="shared" si="117"/>
        <v>51.71</v>
      </c>
      <c r="W191" s="44">
        <f t="shared" si="118"/>
        <v>0</v>
      </c>
      <c r="X191" s="44">
        <f t="shared" si="119"/>
        <v>0</v>
      </c>
      <c r="Y191" s="45">
        <f t="shared" si="120"/>
        <v>0</v>
      </c>
      <c r="Z191" s="103">
        <f t="shared" si="121"/>
        <v>0</v>
      </c>
      <c r="AA191" s="103">
        <f t="shared" si="125"/>
        <v>0</v>
      </c>
      <c r="AB191" s="103">
        <f t="shared" si="123"/>
        <v>0</v>
      </c>
      <c r="AC191" s="5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</row>
    <row r="192" spans="1:42" s="91" customFormat="1">
      <c r="A192" s="39" t="s">
        <v>287</v>
      </c>
      <c r="B192" s="40" t="s">
        <v>288</v>
      </c>
      <c r="C192" s="63" t="s">
        <v>15</v>
      </c>
      <c r="D192" s="64">
        <v>7</v>
      </c>
      <c r="E192" s="65">
        <v>42.2</v>
      </c>
      <c r="F192" s="41">
        <f t="shared" si="124"/>
        <v>7</v>
      </c>
      <c r="G192" s="65">
        <v>34.31</v>
      </c>
      <c r="H192" s="66">
        <f t="shared" si="114"/>
        <v>295.39999999999998</v>
      </c>
      <c r="I192" s="235" t="s">
        <v>517</v>
      </c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7">
        <f t="shared" si="115"/>
        <v>0</v>
      </c>
      <c r="U192" s="67">
        <f t="shared" si="116"/>
        <v>7</v>
      </c>
      <c r="V192" s="67">
        <f t="shared" si="117"/>
        <v>295.40000000000003</v>
      </c>
      <c r="W192" s="44">
        <f t="shared" si="118"/>
        <v>0</v>
      </c>
      <c r="X192" s="44">
        <f t="shared" si="119"/>
        <v>0</v>
      </c>
      <c r="Y192" s="45">
        <f t="shared" si="120"/>
        <v>0</v>
      </c>
      <c r="Z192" s="103">
        <f t="shared" si="121"/>
        <v>0</v>
      </c>
      <c r="AA192" s="103">
        <f t="shared" si="125"/>
        <v>0</v>
      </c>
      <c r="AB192" s="103">
        <f t="shared" si="123"/>
        <v>0</v>
      </c>
      <c r="AC192" s="5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</row>
    <row r="193" spans="1:42" s="91" customFormat="1" ht="25.5">
      <c r="A193" s="39" t="s">
        <v>289</v>
      </c>
      <c r="B193" s="40" t="s">
        <v>290</v>
      </c>
      <c r="C193" s="63" t="s">
        <v>15</v>
      </c>
      <c r="D193" s="64">
        <v>5</v>
      </c>
      <c r="E193" s="65">
        <v>10.119999999999999</v>
      </c>
      <c r="F193" s="41">
        <f t="shared" si="124"/>
        <v>5</v>
      </c>
      <c r="G193" s="65">
        <v>8.23</v>
      </c>
      <c r="H193" s="66">
        <f t="shared" si="114"/>
        <v>50.6</v>
      </c>
      <c r="I193" s="235" t="s">
        <v>518</v>
      </c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7">
        <f t="shared" si="115"/>
        <v>0</v>
      </c>
      <c r="U193" s="67">
        <f t="shared" si="116"/>
        <v>5</v>
      </c>
      <c r="V193" s="67">
        <f t="shared" si="117"/>
        <v>50.599999999999994</v>
      </c>
      <c r="W193" s="44">
        <f t="shared" si="118"/>
        <v>0</v>
      </c>
      <c r="X193" s="44">
        <f t="shared" si="119"/>
        <v>0</v>
      </c>
      <c r="Y193" s="45">
        <f t="shared" si="120"/>
        <v>0</v>
      </c>
      <c r="Z193" s="103">
        <f t="shared" si="121"/>
        <v>0</v>
      </c>
      <c r="AA193" s="103">
        <f t="shared" si="125"/>
        <v>0</v>
      </c>
      <c r="AB193" s="103">
        <f t="shared" si="123"/>
        <v>0</v>
      </c>
      <c r="AC193" s="5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</row>
    <row r="194" spans="1:42" s="91" customFormat="1" ht="25.5">
      <c r="A194" s="39" t="s">
        <v>291</v>
      </c>
      <c r="B194" s="40" t="s">
        <v>292</v>
      </c>
      <c r="C194" s="63" t="s">
        <v>15</v>
      </c>
      <c r="D194" s="64">
        <v>5</v>
      </c>
      <c r="E194" s="65">
        <v>62.84</v>
      </c>
      <c r="F194" s="41">
        <f t="shared" si="124"/>
        <v>5</v>
      </c>
      <c r="G194" s="65">
        <v>51.09</v>
      </c>
      <c r="H194" s="66">
        <f t="shared" si="114"/>
        <v>314.2</v>
      </c>
      <c r="I194" s="235" t="s">
        <v>519</v>
      </c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7">
        <f t="shared" si="115"/>
        <v>0</v>
      </c>
      <c r="U194" s="67">
        <f t="shared" si="116"/>
        <v>5</v>
      </c>
      <c r="V194" s="67">
        <f t="shared" si="117"/>
        <v>314.20000000000005</v>
      </c>
      <c r="W194" s="44">
        <f t="shared" si="118"/>
        <v>0</v>
      </c>
      <c r="X194" s="44">
        <f t="shared" si="119"/>
        <v>0</v>
      </c>
      <c r="Y194" s="45">
        <f t="shared" si="120"/>
        <v>0</v>
      </c>
      <c r="Z194" s="103">
        <f t="shared" si="121"/>
        <v>0</v>
      </c>
      <c r="AA194" s="103">
        <f t="shared" si="125"/>
        <v>0</v>
      </c>
      <c r="AB194" s="103">
        <f t="shared" si="123"/>
        <v>0</v>
      </c>
      <c r="AC194" s="5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</row>
    <row r="195" spans="1:42" s="91" customFormat="1" ht="25.5">
      <c r="A195" s="39" t="s">
        <v>293</v>
      </c>
      <c r="B195" s="40" t="s">
        <v>294</v>
      </c>
      <c r="C195" s="63" t="s">
        <v>15</v>
      </c>
      <c r="D195" s="64">
        <v>8</v>
      </c>
      <c r="E195" s="65">
        <v>62.84</v>
      </c>
      <c r="F195" s="41">
        <f t="shared" si="124"/>
        <v>8</v>
      </c>
      <c r="G195" s="65">
        <v>51.09</v>
      </c>
      <c r="H195" s="66">
        <f t="shared" si="114"/>
        <v>502.72</v>
      </c>
      <c r="I195" s="235" t="s">
        <v>520</v>
      </c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7">
        <f t="shared" si="115"/>
        <v>0</v>
      </c>
      <c r="U195" s="67">
        <f t="shared" si="116"/>
        <v>8</v>
      </c>
      <c r="V195" s="67">
        <f t="shared" si="117"/>
        <v>502.72</v>
      </c>
      <c r="W195" s="44">
        <f t="shared" si="118"/>
        <v>0</v>
      </c>
      <c r="X195" s="44">
        <f t="shared" si="119"/>
        <v>0</v>
      </c>
      <c r="Y195" s="45">
        <f t="shared" si="120"/>
        <v>0</v>
      </c>
      <c r="Z195" s="103">
        <f t="shared" si="121"/>
        <v>0</v>
      </c>
      <c r="AA195" s="103">
        <f t="shared" si="125"/>
        <v>0</v>
      </c>
      <c r="AB195" s="103">
        <f t="shared" si="123"/>
        <v>0</v>
      </c>
      <c r="AC195" s="5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</row>
    <row r="196" spans="1:42" s="91" customFormat="1" ht="25.5">
      <c r="A196" s="39" t="s">
        <v>295</v>
      </c>
      <c r="B196" s="40" t="s">
        <v>296</v>
      </c>
      <c r="C196" s="63" t="s">
        <v>15</v>
      </c>
      <c r="D196" s="64">
        <v>2</v>
      </c>
      <c r="E196" s="65">
        <v>511.69</v>
      </c>
      <c r="F196" s="41">
        <f t="shared" si="124"/>
        <v>2</v>
      </c>
      <c r="G196" s="65">
        <v>416.01</v>
      </c>
      <c r="H196" s="66">
        <f t="shared" si="114"/>
        <v>1023.38</v>
      </c>
      <c r="I196" s="182" t="s">
        <v>446</v>
      </c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7">
        <f t="shared" si="115"/>
        <v>0</v>
      </c>
      <c r="U196" s="67">
        <f t="shared" si="116"/>
        <v>2</v>
      </c>
      <c r="V196" s="67">
        <f t="shared" si="117"/>
        <v>1023.38</v>
      </c>
      <c r="W196" s="44">
        <f t="shared" si="118"/>
        <v>0</v>
      </c>
      <c r="X196" s="44">
        <f t="shared" si="119"/>
        <v>0</v>
      </c>
      <c r="Y196" s="45">
        <f t="shared" si="120"/>
        <v>0</v>
      </c>
      <c r="Z196" s="103">
        <f t="shared" si="121"/>
        <v>0</v>
      </c>
      <c r="AA196" s="103">
        <f t="shared" si="125"/>
        <v>0</v>
      </c>
      <c r="AB196" s="103">
        <f t="shared" si="123"/>
        <v>0</v>
      </c>
      <c r="AC196" s="5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</row>
    <row r="197" spans="1:42" s="91" customFormat="1" ht="25.5">
      <c r="A197" s="39" t="s">
        <v>297</v>
      </c>
      <c r="B197" s="40" t="s">
        <v>298</v>
      </c>
      <c r="C197" s="63" t="s">
        <v>15</v>
      </c>
      <c r="D197" s="64">
        <v>1</v>
      </c>
      <c r="E197" s="65">
        <v>246.47</v>
      </c>
      <c r="F197" s="41">
        <f t="shared" si="124"/>
        <v>1</v>
      </c>
      <c r="G197" s="65">
        <v>200.38</v>
      </c>
      <c r="H197" s="66">
        <f t="shared" si="114"/>
        <v>246.47</v>
      </c>
      <c r="I197" s="182" t="s">
        <v>446</v>
      </c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7">
        <f t="shared" si="115"/>
        <v>0</v>
      </c>
      <c r="U197" s="67">
        <f t="shared" si="116"/>
        <v>1</v>
      </c>
      <c r="V197" s="67">
        <f t="shared" si="117"/>
        <v>246.47</v>
      </c>
      <c r="W197" s="44">
        <f t="shared" si="118"/>
        <v>0</v>
      </c>
      <c r="X197" s="44">
        <f t="shared" si="119"/>
        <v>0</v>
      </c>
      <c r="Y197" s="45">
        <f t="shared" si="120"/>
        <v>0</v>
      </c>
      <c r="Z197" s="103">
        <f t="shared" si="121"/>
        <v>0</v>
      </c>
      <c r="AA197" s="103">
        <f t="shared" si="125"/>
        <v>0</v>
      </c>
      <c r="AB197" s="103">
        <f t="shared" si="123"/>
        <v>0</v>
      </c>
      <c r="AC197" s="5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</row>
    <row r="198" spans="1:42" s="91" customFormat="1">
      <c r="A198" s="39" t="s">
        <v>299</v>
      </c>
      <c r="B198" s="40" t="s">
        <v>300</v>
      </c>
      <c r="C198" s="63" t="s">
        <v>15</v>
      </c>
      <c r="D198" s="64">
        <v>1</v>
      </c>
      <c r="E198" s="65">
        <v>220.82</v>
      </c>
      <c r="F198" s="41">
        <f t="shared" si="124"/>
        <v>1</v>
      </c>
      <c r="G198" s="65">
        <v>179.53</v>
      </c>
      <c r="H198" s="66">
        <f t="shared" si="114"/>
        <v>220.82</v>
      </c>
      <c r="I198" s="182" t="s">
        <v>521</v>
      </c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7">
        <f t="shared" si="115"/>
        <v>0</v>
      </c>
      <c r="U198" s="67">
        <f t="shared" si="116"/>
        <v>1</v>
      </c>
      <c r="V198" s="67">
        <f t="shared" si="117"/>
        <v>220.82</v>
      </c>
      <c r="W198" s="44">
        <f t="shared" si="118"/>
        <v>0</v>
      </c>
      <c r="X198" s="44">
        <f t="shared" si="119"/>
        <v>0</v>
      </c>
      <c r="Y198" s="45">
        <f t="shared" si="120"/>
        <v>0</v>
      </c>
      <c r="Z198" s="103">
        <f t="shared" si="121"/>
        <v>0</v>
      </c>
      <c r="AA198" s="103">
        <f t="shared" si="125"/>
        <v>0</v>
      </c>
      <c r="AB198" s="103">
        <f t="shared" si="123"/>
        <v>0</v>
      </c>
      <c r="AC198" s="83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</row>
    <row r="199" spans="1:42" s="91" customFormat="1" ht="51">
      <c r="A199" s="39" t="s">
        <v>301</v>
      </c>
      <c r="B199" s="40" t="s">
        <v>302</v>
      </c>
      <c r="C199" s="63" t="s">
        <v>15</v>
      </c>
      <c r="D199" s="64">
        <v>1</v>
      </c>
      <c r="E199" s="65">
        <v>609.29</v>
      </c>
      <c r="F199" s="41">
        <f t="shared" si="124"/>
        <v>1</v>
      </c>
      <c r="G199" s="65">
        <v>495.36</v>
      </c>
      <c r="H199" s="66">
        <f t="shared" si="114"/>
        <v>609.29</v>
      </c>
      <c r="I199" s="182" t="s">
        <v>446</v>
      </c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7">
        <f t="shared" si="115"/>
        <v>0</v>
      </c>
      <c r="U199" s="67">
        <f t="shared" si="116"/>
        <v>1</v>
      </c>
      <c r="V199" s="67">
        <f t="shared" si="117"/>
        <v>609.29</v>
      </c>
      <c r="W199" s="44">
        <f t="shared" si="118"/>
        <v>0</v>
      </c>
      <c r="X199" s="44">
        <f t="shared" si="119"/>
        <v>0</v>
      </c>
      <c r="Y199" s="45">
        <f t="shared" si="120"/>
        <v>0</v>
      </c>
      <c r="Z199" s="103">
        <f t="shared" si="121"/>
        <v>0</v>
      </c>
      <c r="AA199" s="103">
        <f t="shared" si="125"/>
        <v>0</v>
      </c>
      <c r="AB199" s="103">
        <f t="shared" si="123"/>
        <v>0</v>
      </c>
      <c r="AC199" s="84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</row>
    <row r="200" spans="1:42" s="91" customFormat="1" ht="51">
      <c r="A200" s="39" t="s">
        <v>303</v>
      </c>
      <c r="B200" s="40" t="s">
        <v>304</v>
      </c>
      <c r="C200" s="63" t="s">
        <v>15</v>
      </c>
      <c r="D200" s="64">
        <v>1</v>
      </c>
      <c r="E200" s="65">
        <v>411.51</v>
      </c>
      <c r="F200" s="41">
        <f t="shared" si="124"/>
        <v>1</v>
      </c>
      <c r="G200" s="65">
        <v>334.56</v>
      </c>
      <c r="H200" s="66">
        <f t="shared" si="114"/>
        <v>411.51</v>
      </c>
      <c r="I200" s="182" t="s">
        <v>446</v>
      </c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7">
        <f t="shared" si="115"/>
        <v>0</v>
      </c>
      <c r="U200" s="67">
        <f t="shared" si="116"/>
        <v>1</v>
      </c>
      <c r="V200" s="67">
        <f t="shared" si="117"/>
        <v>411.51</v>
      </c>
      <c r="W200" s="44">
        <f t="shared" si="118"/>
        <v>0</v>
      </c>
      <c r="X200" s="44">
        <f t="shared" si="119"/>
        <v>0</v>
      </c>
      <c r="Y200" s="45">
        <f t="shared" si="120"/>
        <v>0</v>
      </c>
      <c r="Z200" s="103">
        <f t="shared" si="121"/>
        <v>0</v>
      </c>
      <c r="AA200" s="103">
        <f t="shared" si="125"/>
        <v>0</v>
      </c>
      <c r="AB200" s="103">
        <f t="shared" si="123"/>
        <v>0</v>
      </c>
      <c r="AC200" s="5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</row>
    <row r="201" spans="1:42">
      <c r="A201" s="219" t="s">
        <v>305</v>
      </c>
      <c r="B201" s="220" t="s">
        <v>306</v>
      </c>
      <c r="C201" s="219" t="s">
        <v>105</v>
      </c>
      <c r="D201" s="41">
        <v>22</v>
      </c>
      <c r="E201" s="42">
        <v>7.24</v>
      </c>
      <c r="F201" s="232"/>
      <c r="G201" s="42">
        <v>5.89</v>
      </c>
      <c r="H201" s="43">
        <f t="shared" si="114"/>
        <v>159.28</v>
      </c>
      <c r="I201" s="233" t="s">
        <v>446</v>
      </c>
      <c r="J201" s="64">
        <v>22</v>
      </c>
      <c r="K201" s="64"/>
      <c r="L201" s="64"/>
      <c r="M201" s="64"/>
      <c r="N201" s="64"/>
      <c r="O201" s="64"/>
      <c r="P201" s="64"/>
      <c r="Q201" s="64"/>
      <c r="R201" s="64"/>
      <c r="S201" s="64"/>
      <c r="T201" s="67">
        <f t="shared" si="115"/>
        <v>22</v>
      </c>
      <c r="U201" s="67">
        <f t="shared" si="116"/>
        <v>0</v>
      </c>
      <c r="V201" s="67">
        <f t="shared" si="117"/>
        <v>0</v>
      </c>
      <c r="W201" s="44">
        <f t="shared" si="118"/>
        <v>1</v>
      </c>
      <c r="X201" s="44">
        <f t="shared" si="119"/>
        <v>0</v>
      </c>
      <c r="Y201" s="45">
        <f t="shared" si="120"/>
        <v>1</v>
      </c>
      <c r="Z201" s="103">
        <f t="shared" si="121"/>
        <v>159.28</v>
      </c>
      <c r="AA201" s="103">
        <f t="shared" ref="AA201:AA206" si="126">Q201*E201</f>
        <v>0</v>
      </c>
      <c r="AB201" s="103">
        <f t="shared" si="123"/>
        <v>159.28</v>
      </c>
      <c r="AC201" s="5"/>
    </row>
    <row r="202" spans="1:42">
      <c r="A202" s="39" t="s">
        <v>307</v>
      </c>
      <c r="B202" s="40" t="s">
        <v>308</v>
      </c>
      <c r="C202" s="39" t="s">
        <v>105</v>
      </c>
      <c r="D202" s="41">
        <v>32</v>
      </c>
      <c r="E202" s="42">
        <v>5.0599999999999996</v>
      </c>
      <c r="F202" s="42"/>
      <c r="G202" s="42">
        <v>4.1100000000000003</v>
      </c>
      <c r="H202" s="43">
        <f t="shared" si="114"/>
        <v>161.91999999999999</v>
      </c>
      <c r="I202" s="181" t="s">
        <v>446</v>
      </c>
      <c r="J202" s="64">
        <v>32</v>
      </c>
      <c r="K202" s="64"/>
      <c r="L202" s="64"/>
      <c r="M202" s="64"/>
      <c r="N202" s="64"/>
      <c r="O202" s="64"/>
      <c r="P202" s="64"/>
      <c r="Q202" s="64"/>
      <c r="R202" s="64"/>
      <c r="S202" s="64"/>
      <c r="T202" s="67">
        <f t="shared" si="115"/>
        <v>32</v>
      </c>
      <c r="U202" s="67">
        <f t="shared" si="116"/>
        <v>0</v>
      </c>
      <c r="V202" s="67">
        <f t="shared" si="117"/>
        <v>0</v>
      </c>
      <c r="W202" s="44">
        <f t="shared" si="118"/>
        <v>1</v>
      </c>
      <c r="X202" s="44">
        <f t="shared" si="119"/>
        <v>0</v>
      </c>
      <c r="Y202" s="45">
        <f t="shared" si="120"/>
        <v>1</v>
      </c>
      <c r="Z202" s="103">
        <f t="shared" si="121"/>
        <v>161.91999999999999</v>
      </c>
      <c r="AA202" s="103">
        <f t="shared" si="126"/>
        <v>0</v>
      </c>
      <c r="AB202" s="103">
        <f t="shared" si="123"/>
        <v>161.91999999999999</v>
      </c>
      <c r="AC202" s="5"/>
    </row>
    <row r="203" spans="1:42">
      <c r="A203" s="39" t="s">
        <v>309</v>
      </c>
      <c r="B203" s="40" t="s">
        <v>310</v>
      </c>
      <c r="C203" s="39" t="s">
        <v>105</v>
      </c>
      <c r="D203" s="41">
        <v>22</v>
      </c>
      <c r="E203" s="42">
        <v>11.75</v>
      </c>
      <c r="F203" s="42"/>
      <c r="G203" s="42">
        <v>9.5500000000000007</v>
      </c>
      <c r="H203" s="43">
        <f t="shared" si="114"/>
        <v>258.5</v>
      </c>
      <c r="I203" s="181" t="s">
        <v>446</v>
      </c>
      <c r="J203" s="64">
        <v>22</v>
      </c>
      <c r="K203" s="64"/>
      <c r="L203" s="64"/>
      <c r="M203" s="64"/>
      <c r="N203" s="64"/>
      <c r="O203" s="64"/>
      <c r="P203" s="64"/>
      <c r="Q203" s="64"/>
      <c r="R203" s="64"/>
      <c r="S203" s="64"/>
      <c r="T203" s="67">
        <f t="shared" si="115"/>
        <v>22</v>
      </c>
      <c r="U203" s="67">
        <f t="shared" si="116"/>
        <v>0</v>
      </c>
      <c r="V203" s="67">
        <f t="shared" si="117"/>
        <v>0</v>
      </c>
      <c r="W203" s="44">
        <f t="shared" si="118"/>
        <v>1</v>
      </c>
      <c r="X203" s="44">
        <f t="shared" si="119"/>
        <v>0</v>
      </c>
      <c r="Y203" s="45">
        <f t="shared" si="120"/>
        <v>1</v>
      </c>
      <c r="Z203" s="103">
        <f t="shared" si="121"/>
        <v>258.5</v>
      </c>
      <c r="AA203" s="103">
        <f t="shared" si="126"/>
        <v>0</v>
      </c>
      <c r="AB203" s="103">
        <f t="shared" si="123"/>
        <v>258.5</v>
      </c>
      <c r="AC203" s="5"/>
    </row>
    <row r="204" spans="1:42" ht="25.5">
      <c r="A204" s="39" t="s">
        <v>311</v>
      </c>
      <c r="B204" s="40" t="s">
        <v>312</v>
      </c>
      <c r="C204" s="39" t="s">
        <v>105</v>
      </c>
      <c r="D204" s="41">
        <v>86</v>
      </c>
      <c r="E204" s="42">
        <v>21.61</v>
      </c>
      <c r="F204" s="42"/>
      <c r="G204" s="42">
        <v>17.57</v>
      </c>
      <c r="H204" s="43">
        <f t="shared" si="114"/>
        <v>1858.46</v>
      </c>
      <c r="I204" s="181" t="s">
        <v>446</v>
      </c>
      <c r="J204" s="64">
        <v>86</v>
      </c>
      <c r="K204" s="64"/>
      <c r="L204" s="64"/>
      <c r="M204" s="64"/>
      <c r="N204" s="64"/>
      <c r="O204" s="64"/>
      <c r="P204" s="64"/>
      <c r="Q204" s="64"/>
      <c r="R204" s="64"/>
      <c r="S204" s="64"/>
      <c r="T204" s="67">
        <f t="shared" si="115"/>
        <v>86</v>
      </c>
      <c r="U204" s="67">
        <f t="shared" si="116"/>
        <v>0</v>
      </c>
      <c r="V204" s="67">
        <f t="shared" si="117"/>
        <v>0</v>
      </c>
      <c r="W204" s="44">
        <f t="shared" si="118"/>
        <v>1</v>
      </c>
      <c r="X204" s="44">
        <f t="shared" si="119"/>
        <v>0</v>
      </c>
      <c r="Y204" s="45">
        <f t="shared" si="120"/>
        <v>1</v>
      </c>
      <c r="Z204" s="103">
        <f t="shared" si="121"/>
        <v>1858.46</v>
      </c>
      <c r="AA204" s="103">
        <f t="shared" si="126"/>
        <v>0</v>
      </c>
      <c r="AB204" s="103">
        <f t="shared" si="123"/>
        <v>1858.46</v>
      </c>
      <c r="AC204" s="5"/>
    </row>
    <row r="205" spans="1:42" ht="25.5">
      <c r="A205" s="39" t="s">
        <v>313</v>
      </c>
      <c r="B205" s="40" t="s">
        <v>314</v>
      </c>
      <c r="C205" s="39" t="s">
        <v>105</v>
      </c>
      <c r="D205" s="41">
        <v>17</v>
      </c>
      <c r="E205" s="42">
        <v>22.85</v>
      </c>
      <c r="F205" s="42"/>
      <c r="G205" s="42">
        <v>18.579999999999998</v>
      </c>
      <c r="H205" s="43">
        <f t="shared" si="114"/>
        <v>388.45</v>
      </c>
      <c r="I205" s="181" t="s">
        <v>446</v>
      </c>
      <c r="J205" s="64">
        <v>17</v>
      </c>
      <c r="K205" s="64"/>
      <c r="L205" s="64"/>
      <c r="M205" s="64"/>
      <c r="N205" s="64"/>
      <c r="O205" s="64"/>
      <c r="P205" s="64"/>
      <c r="Q205" s="64"/>
      <c r="R205" s="64"/>
      <c r="S205" s="64"/>
      <c r="T205" s="67">
        <f t="shared" si="115"/>
        <v>17</v>
      </c>
      <c r="U205" s="67">
        <f t="shared" si="116"/>
        <v>0</v>
      </c>
      <c r="V205" s="67">
        <f t="shared" si="117"/>
        <v>0</v>
      </c>
      <c r="W205" s="44">
        <f t="shared" si="118"/>
        <v>1</v>
      </c>
      <c r="X205" s="44">
        <f t="shared" si="119"/>
        <v>0</v>
      </c>
      <c r="Y205" s="45">
        <f t="shared" si="120"/>
        <v>1</v>
      </c>
      <c r="Z205" s="103">
        <f t="shared" si="121"/>
        <v>388.45000000000005</v>
      </c>
      <c r="AA205" s="103">
        <f t="shared" si="126"/>
        <v>0</v>
      </c>
      <c r="AB205" s="103">
        <f t="shared" si="123"/>
        <v>388.45000000000005</v>
      </c>
      <c r="AC205" s="5"/>
    </row>
    <row r="206" spans="1:42" ht="25.5">
      <c r="A206" s="209" t="s">
        <v>315</v>
      </c>
      <c r="B206" s="210" t="s">
        <v>316</v>
      </c>
      <c r="C206" s="209" t="s">
        <v>105</v>
      </c>
      <c r="D206" s="41">
        <v>34</v>
      </c>
      <c r="E206" s="42">
        <v>38.840000000000003</v>
      </c>
      <c r="F206" s="213"/>
      <c r="G206" s="42">
        <v>31.58</v>
      </c>
      <c r="H206" s="43">
        <f t="shared" si="114"/>
        <v>1320.56</v>
      </c>
      <c r="I206" s="214" t="s">
        <v>446</v>
      </c>
      <c r="J206" s="64">
        <v>34</v>
      </c>
      <c r="K206" s="64"/>
      <c r="L206" s="64"/>
      <c r="M206" s="64"/>
      <c r="N206" s="64"/>
      <c r="O206" s="64"/>
      <c r="P206" s="64"/>
      <c r="Q206" s="64"/>
      <c r="R206" s="64"/>
      <c r="S206" s="64"/>
      <c r="T206" s="67">
        <f t="shared" si="115"/>
        <v>34</v>
      </c>
      <c r="U206" s="67">
        <f t="shared" si="116"/>
        <v>0</v>
      </c>
      <c r="V206" s="67">
        <f t="shared" si="117"/>
        <v>0</v>
      </c>
      <c r="W206" s="44">
        <f t="shared" si="118"/>
        <v>1</v>
      </c>
      <c r="X206" s="44">
        <f t="shared" si="119"/>
        <v>0</v>
      </c>
      <c r="Y206" s="45">
        <f t="shared" si="120"/>
        <v>1</v>
      </c>
      <c r="Z206" s="103">
        <f t="shared" si="121"/>
        <v>1320.5600000000002</v>
      </c>
      <c r="AA206" s="103">
        <f t="shared" si="126"/>
        <v>0</v>
      </c>
      <c r="AB206" s="103">
        <f t="shared" si="123"/>
        <v>1320.5600000000002</v>
      </c>
      <c r="AC206" s="5"/>
    </row>
    <row r="207" spans="1:42" s="91" customFormat="1" ht="25.5">
      <c r="A207" s="39" t="s">
        <v>317</v>
      </c>
      <c r="B207" s="40" t="s">
        <v>318</v>
      </c>
      <c r="C207" s="63" t="s">
        <v>15</v>
      </c>
      <c r="D207" s="64">
        <v>6</v>
      </c>
      <c r="E207" s="65">
        <v>111.44</v>
      </c>
      <c r="F207" s="41">
        <f t="shared" ref="F207:F209" si="127">U207</f>
        <v>6</v>
      </c>
      <c r="G207" s="65">
        <v>90.6</v>
      </c>
      <c r="H207" s="66">
        <f t="shared" si="114"/>
        <v>668.64</v>
      </c>
      <c r="I207" s="235" t="s">
        <v>522</v>
      </c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7">
        <f t="shared" si="115"/>
        <v>0</v>
      </c>
      <c r="U207" s="67">
        <f t="shared" si="116"/>
        <v>6</v>
      </c>
      <c r="V207" s="67">
        <f t="shared" si="117"/>
        <v>668.64</v>
      </c>
      <c r="W207" s="44">
        <f t="shared" si="118"/>
        <v>0</v>
      </c>
      <c r="X207" s="44">
        <f t="shared" si="119"/>
        <v>0</v>
      </c>
      <c r="Y207" s="45">
        <f t="shared" si="120"/>
        <v>0</v>
      </c>
      <c r="Z207" s="103">
        <f t="shared" si="121"/>
        <v>0</v>
      </c>
      <c r="AA207" s="103">
        <f t="shared" ref="AA207:AA209" si="128">S207*G207</f>
        <v>0</v>
      </c>
      <c r="AB207" s="103">
        <f t="shared" si="123"/>
        <v>0</v>
      </c>
      <c r="AC207" s="5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90"/>
    </row>
    <row r="208" spans="1:42" s="91" customFormat="1" ht="25.5">
      <c r="A208" s="39" t="s">
        <v>319</v>
      </c>
      <c r="B208" s="40" t="s">
        <v>320</v>
      </c>
      <c r="C208" s="63" t="s">
        <v>15</v>
      </c>
      <c r="D208" s="64">
        <v>1</v>
      </c>
      <c r="E208" s="65">
        <v>80.23</v>
      </c>
      <c r="F208" s="41">
        <f t="shared" si="127"/>
        <v>1</v>
      </c>
      <c r="G208" s="65">
        <v>65.23</v>
      </c>
      <c r="H208" s="66">
        <f t="shared" si="114"/>
        <v>80.23</v>
      </c>
      <c r="I208" s="235" t="s">
        <v>523</v>
      </c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7">
        <f t="shared" si="115"/>
        <v>0</v>
      </c>
      <c r="U208" s="67">
        <f t="shared" si="116"/>
        <v>1</v>
      </c>
      <c r="V208" s="67">
        <f t="shared" si="117"/>
        <v>80.23</v>
      </c>
      <c r="W208" s="44">
        <f t="shared" si="118"/>
        <v>0</v>
      </c>
      <c r="X208" s="44">
        <f t="shared" si="119"/>
        <v>0</v>
      </c>
      <c r="Y208" s="45">
        <f t="shared" si="120"/>
        <v>0</v>
      </c>
      <c r="Z208" s="103">
        <f t="shared" si="121"/>
        <v>0</v>
      </c>
      <c r="AA208" s="103">
        <f t="shared" si="128"/>
        <v>0</v>
      </c>
      <c r="AB208" s="103">
        <f t="shared" si="123"/>
        <v>0</v>
      </c>
      <c r="AC208" s="5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/>
    </row>
    <row r="209" spans="1:42" s="91" customFormat="1" ht="38.25">
      <c r="A209" s="39" t="s">
        <v>321</v>
      </c>
      <c r="B209" s="40" t="s">
        <v>322</v>
      </c>
      <c r="C209" s="63" t="s">
        <v>15</v>
      </c>
      <c r="D209" s="64">
        <v>15</v>
      </c>
      <c r="E209" s="65">
        <v>608.30999999999995</v>
      </c>
      <c r="F209" s="41">
        <f t="shared" si="127"/>
        <v>15</v>
      </c>
      <c r="G209" s="65">
        <v>494.56</v>
      </c>
      <c r="H209" s="66">
        <f t="shared" si="114"/>
        <v>9124.65</v>
      </c>
      <c r="I209" s="182" t="s">
        <v>446</v>
      </c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7">
        <f t="shared" si="115"/>
        <v>0</v>
      </c>
      <c r="U209" s="67">
        <f t="shared" si="116"/>
        <v>15</v>
      </c>
      <c r="V209" s="67">
        <f t="shared" si="117"/>
        <v>9124.65</v>
      </c>
      <c r="W209" s="44">
        <f t="shared" si="118"/>
        <v>0</v>
      </c>
      <c r="X209" s="44">
        <f t="shared" si="119"/>
        <v>0</v>
      </c>
      <c r="Y209" s="45">
        <f t="shared" si="120"/>
        <v>0</v>
      </c>
      <c r="Z209" s="103">
        <f t="shared" si="121"/>
        <v>0</v>
      </c>
      <c r="AA209" s="103">
        <f t="shared" si="128"/>
        <v>0</v>
      </c>
      <c r="AB209" s="103">
        <f t="shared" si="123"/>
        <v>0</v>
      </c>
      <c r="AC209" s="5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</row>
    <row r="210" spans="1:42" s="91" customFormat="1">
      <c r="A210" s="229"/>
      <c r="B210" s="229"/>
      <c r="C210" s="229"/>
      <c r="D210" s="60"/>
      <c r="E210" s="65"/>
      <c r="F210" s="217"/>
      <c r="G210" s="65">
        <v>0</v>
      </c>
      <c r="H210" s="61"/>
      <c r="I210" s="23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67">
        <f t="shared" si="115"/>
        <v>0</v>
      </c>
      <c r="U210" s="81"/>
      <c r="V210" s="67">
        <f t="shared" si="117"/>
        <v>0</v>
      </c>
      <c r="W210" s="44">
        <v>0</v>
      </c>
      <c r="X210" s="44">
        <f t="shared" si="119"/>
        <v>0</v>
      </c>
      <c r="Y210" s="45">
        <f t="shared" si="120"/>
        <v>0</v>
      </c>
      <c r="Z210" s="103">
        <f>(J210+K210+L210+M210)*E210</f>
        <v>0</v>
      </c>
      <c r="AA210" s="103">
        <f>Q210*E210</f>
        <v>0</v>
      </c>
      <c r="AB210" s="103">
        <f>(J210+K210+L210+M210+N210)*E210</f>
        <v>0</v>
      </c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</row>
    <row r="211" spans="1:42" s="95" customFormat="1" ht="25.5">
      <c r="A211" s="175">
        <v>15</v>
      </c>
      <c r="B211" s="33" t="s">
        <v>323</v>
      </c>
      <c r="C211" s="34"/>
      <c r="D211" s="68"/>
      <c r="E211" s="69">
        <v>0</v>
      </c>
      <c r="F211" s="69"/>
      <c r="G211" s="69">
        <v>0</v>
      </c>
      <c r="H211" s="75">
        <f>SUM(H212:H217)</f>
        <v>1958.15</v>
      </c>
      <c r="I211" s="190"/>
      <c r="J211" s="77"/>
      <c r="K211" s="77"/>
      <c r="L211" s="116"/>
      <c r="M211" s="77"/>
      <c r="N211" s="77"/>
      <c r="O211" s="77"/>
      <c r="P211" s="77"/>
      <c r="Q211" s="77"/>
      <c r="R211" s="116"/>
      <c r="S211" s="77"/>
      <c r="T211" s="77"/>
      <c r="U211" s="77"/>
      <c r="V211" s="75">
        <f>SUM(V212:V217)</f>
        <v>1958.15</v>
      </c>
      <c r="W211" s="77"/>
      <c r="X211" s="155"/>
      <c r="Y211" s="78">
        <f>J211</f>
        <v>0</v>
      </c>
      <c r="Z211" s="75">
        <f>SUM(Z212:Z217)</f>
        <v>0</v>
      </c>
      <c r="AA211" s="75">
        <f>SUM(AA212:AA217)</f>
        <v>0</v>
      </c>
      <c r="AB211" s="75">
        <f>SUM(AB212:AB217)</f>
        <v>0</v>
      </c>
      <c r="AC211" s="1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94"/>
      <c r="AO211" s="94"/>
      <c r="AP211" s="94"/>
    </row>
    <row r="212" spans="1:42" s="91" customFormat="1" ht="25.5">
      <c r="A212" s="39" t="s">
        <v>324</v>
      </c>
      <c r="B212" s="40" t="s">
        <v>325</v>
      </c>
      <c r="C212" s="63" t="s">
        <v>15</v>
      </c>
      <c r="D212" s="64">
        <v>5</v>
      </c>
      <c r="E212" s="65">
        <v>25.71</v>
      </c>
      <c r="F212" s="41">
        <f t="shared" ref="F212:F217" si="129">U212</f>
        <v>5</v>
      </c>
      <c r="G212" s="65">
        <v>20.9</v>
      </c>
      <c r="H212" s="66">
        <f t="shared" ref="H212:H217" si="130">ROUND(D212*E212,2)</f>
        <v>128.55000000000001</v>
      </c>
      <c r="I212" s="182" t="s">
        <v>446</v>
      </c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>
        <f t="shared" ref="T212:T218" si="131">SUM(J212:S212)</f>
        <v>0</v>
      </c>
      <c r="U212" s="67">
        <f t="shared" ref="U212:U217" si="132">D212-T212</f>
        <v>5</v>
      </c>
      <c r="V212" s="67">
        <f t="shared" ref="V212:V218" si="133">U212*E212</f>
        <v>128.55000000000001</v>
      </c>
      <c r="W212" s="44">
        <f t="shared" ref="W212:W217" si="134">(SUM(J212:R212))/D212</f>
        <v>0</v>
      </c>
      <c r="X212" s="44">
        <f t="shared" ref="X212:X218" si="135">IF(D212=0,0,S212/D212)</f>
        <v>0</v>
      </c>
      <c r="Y212" s="45">
        <f t="shared" ref="Y212:Y218" si="136">W212+X212</f>
        <v>0</v>
      </c>
      <c r="Z212" s="103">
        <f t="shared" ref="Z212:Z217" si="137">(J212+K212+L212+M212+N212)*E212</f>
        <v>0</v>
      </c>
      <c r="AA212" s="103">
        <f t="shared" ref="AA212:AA217" si="138">S212*G212</f>
        <v>0</v>
      </c>
      <c r="AB212" s="103">
        <f t="shared" ref="AB212:AB217" si="139">(J212+K212+L212+M212+N212+O212)*E212</f>
        <v>0</v>
      </c>
      <c r="AC212" s="5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90"/>
    </row>
    <row r="213" spans="1:42" s="91" customFormat="1">
      <c r="A213" s="39" t="s">
        <v>326</v>
      </c>
      <c r="B213" s="40" t="s">
        <v>327</v>
      </c>
      <c r="C213" s="63" t="s">
        <v>15</v>
      </c>
      <c r="D213" s="64">
        <v>12</v>
      </c>
      <c r="E213" s="65">
        <v>1.65</v>
      </c>
      <c r="F213" s="41">
        <f t="shared" si="129"/>
        <v>12</v>
      </c>
      <c r="G213" s="65">
        <v>1.34</v>
      </c>
      <c r="H213" s="66">
        <f t="shared" si="130"/>
        <v>19.8</v>
      </c>
      <c r="I213" s="182" t="s">
        <v>446</v>
      </c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>
        <f t="shared" si="131"/>
        <v>0</v>
      </c>
      <c r="U213" s="67">
        <f t="shared" si="132"/>
        <v>12</v>
      </c>
      <c r="V213" s="67">
        <f t="shared" si="133"/>
        <v>19.799999999999997</v>
      </c>
      <c r="W213" s="44">
        <f t="shared" si="134"/>
        <v>0</v>
      </c>
      <c r="X213" s="44">
        <f t="shared" si="135"/>
        <v>0</v>
      </c>
      <c r="Y213" s="45">
        <f t="shared" si="136"/>
        <v>0</v>
      </c>
      <c r="Z213" s="103">
        <f t="shared" si="137"/>
        <v>0</v>
      </c>
      <c r="AA213" s="103">
        <f t="shared" si="138"/>
        <v>0</v>
      </c>
      <c r="AB213" s="103">
        <f t="shared" si="139"/>
        <v>0</v>
      </c>
      <c r="AC213" s="5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</row>
    <row r="214" spans="1:42" s="91" customFormat="1">
      <c r="A214" s="39" t="s">
        <v>328</v>
      </c>
      <c r="B214" s="40" t="s">
        <v>329</v>
      </c>
      <c r="C214" s="63" t="s">
        <v>15</v>
      </c>
      <c r="D214" s="64">
        <v>24</v>
      </c>
      <c r="E214" s="65">
        <v>54.82</v>
      </c>
      <c r="F214" s="41">
        <f t="shared" si="129"/>
        <v>24</v>
      </c>
      <c r="G214" s="65">
        <v>44.57</v>
      </c>
      <c r="H214" s="66">
        <f t="shared" si="130"/>
        <v>1315.68</v>
      </c>
      <c r="I214" s="182" t="s">
        <v>446</v>
      </c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>
        <f t="shared" si="131"/>
        <v>0</v>
      </c>
      <c r="U214" s="67">
        <f t="shared" si="132"/>
        <v>24</v>
      </c>
      <c r="V214" s="67">
        <f t="shared" si="133"/>
        <v>1315.68</v>
      </c>
      <c r="W214" s="44">
        <f t="shared" si="134"/>
        <v>0</v>
      </c>
      <c r="X214" s="44">
        <f t="shared" si="135"/>
        <v>0</v>
      </c>
      <c r="Y214" s="45">
        <f t="shared" si="136"/>
        <v>0</v>
      </c>
      <c r="Z214" s="103">
        <f t="shared" si="137"/>
        <v>0</v>
      </c>
      <c r="AA214" s="103">
        <f t="shared" si="138"/>
        <v>0</v>
      </c>
      <c r="AB214" s="103">
        <f t="shared" si="139"/>
        <v>0</v>
      </c>
      <c r="AC214" s="5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</row>
    <row r="215" spans="1:42" s="91" customFormat="1">
      <c r="A215" s="39" t="s">
        <v>330</v>
      </c>
      <c r="B215" s="40" t="s">
        <v>331</v>
      </c>
      <c r="C215" s="63" t="s">
        <v>15</v>
      </c>
      <c r="D215" s="64">
        <v>5</v>
      </c>
      <c r="E215" s="65">
        <v>48.17</v>
      </c>
      <c r="F215" s="41">
        <f t="shared" si="129"/>
        <v>5</v>
      </c>
      <c r="G215" s="65">
        <v>39.159999999999997</v>
      </c>
      <c r="H215" s="66">
        <f t="shared" si="130"/>
        <v>240.85</v>
      </c>
      <c r="I215" s="182" t="s">
        <v>446</v>
      </c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>
        <f t="shared" si="131"/>
        <v>0</v>
      </c>
      <c r="U215" s="67">
        <f t="shared" si="132"/>
        <v>5</v>
      </c>
      <c r="V215" s="67">
        <f t="shared" si="133"/>
        <v>240.85000000000002</v>
      </c>
      <c r="W215" s="44">
        <f t="shared" si="134"/>
        <v>0</v>
      </c>
      <c r="X215" s="44">
        <f t="shared" si="135"/>
        <v>0</v>
      </c>
      <c r="Y215" s="45">
        <f t="shared" si="136"/>
        <v>0</v>
      </c>
      <c r="Z215" s="103">
        <f t="shared" si="137"/>
        <v>0</v>
      </c>
      <c r="AA215" s="103">
        <f t="shared" si="138"/>
        <v>0</v>
      </c>
      <c r="AB215" s="103">
        <f t="shared" si="139"/>
        <v>0</v>
      </c>
      <c r="AC215" s="5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90"/>
    </row>
    <row r="216" spans="1:42" s="91" customFormat="1">
      <c r="A216" s="39" t="s">
        <v>332</v>
      </c>
      <c r="B216" s="40" t="s">
        <v>333</v>
      </c>
      <c r="C216" s="63" t="s">
        <v>15</v>
      </c>
      <c r="D216" s="64">
        <v>18</v>
      </c>
      <c r="E216" s="65">
        <v>10.79</v>
      </c>
      <c r="F216" s="41">
        <f t="shared" si="129"/>
        <v>18</v>
      </c>
      <c r="G216" s="65">
        <v>8.77</v>
      </c>
      <c r="H216" s="66">
        <f t="shared" si="130"/>
        <v>194.22</v>
      </c>
      <c r="I216" s="182" t="s">
        <v>446</v>
      </c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>
        <f t="shared" si="131"/>
        <v>0</v>
      </c>
      <c r="U216" s="67">
        <f t="shared" si="132"/>
        <v>18</v>
      </c>
      <c r="V216" s="67">
        <f t="shared" si="133"/>
        <v>194.21999999999997</v>
      </c>
      <c r="W216" s="44">
        <f t="shared" si="134"/>
        <v>0</v>
      </c>
      <c r="X216" s="44">
        <f t="shared" si="135"/>
        <v>0</v>
      </c>
      <c r="Y216" s="45">
        <f t="shared" si="136"/>
        <v>0</v>
      </c>
      <c r="Z216" s="103">
        <f t="shared" si="137"/>
        <v>0</v>
      </c>
      <c r="AA216" s="103">
        <f t="shared" si="138"/>
        <v>0</v>
      </c>
      <c r="AB216" s="103">
        <f t="shared" si="139"/>
        <v>0</v>
      </c>
      <c r="AC216" s="5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</row>
    <row r="217" spans="1:42" s="91" customFormat="1">
      <c r="A217" s="39" t="s">
        <v>334</v>
      </c>
      <c r="B217" s="40" t="s">
        <v>335</v>
      </c>
      <c r="C217" s="63" t="s">
        <v>15</v>
      </c>
      <c r="D217" s="64">
        <v>5</v>
      </c>
      <c r="E217" s="65">
        <v>11.81</v>
      </c>
      <c r="F217" s="41">
        <f t="shared" si="129"/>
        <v>5</v>
      </c>
      <c r="G217" s="65">
        <v>9.6</v>
      </c>
      <c r="H217" s="66">
        <f t="shared" si="130"/>
        <v>59.05</v>
      </c>
      <c r="I217" s="182" t="s">
        <v>446</v>
      </c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>
        <f t="shared" si="131"/>
        <v>0</v>
      </c>
      <c r="U217" s="67">
        <f t="shared" si="132"/>
        <v>5</v>
      </c>
      <c r="V217" s="67">
        <f t="shared" si="133"/>
        <v>59.050000000000004</v>
      </c>
      <c r="W217" s="44">
        <f t="shared" si="134"/>
        <v>0</v>
      </c>
      <c r="X217" s="44">
        <f t="shared" si="135"/>
        <v>0</v>
      </c>
      <c r="Y217" s="45">
        <f t="shared" si="136"/>
        <v>0</v>
      </c>
      <c r="Z217" s="103">
        <f t="shared" si="137"/>
        <v>0</v>
      </c>
      <c r="AA217" s="103">
        <f t="shared" si="138"/>
        <v>0</v>
      </c>
      <c r="AB217" s="103">
        <f t="shared" si="139"/>
        <v>0</v>
      </c>
      <c r="AC217" s="5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</row>
    <row r="218" spans="1:42" s="91" customFormat="1">
      <c r="A218" s="229"/>
      <c r="B218" s="229"/>
      <c r="C218" s="229"/>
      <c r="D218" s="60"/>
      <c r="E218" s="65"/>
      <c r="F218" s="217"/>
      <c r="G218" s="65">
        <v>0</v>
      </c>
      <c r="H218" s="61"/>
      <c r="I218" s="23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67">
        <f t="shared" si="131"/>
        <v>0</v>
      </c>
      <c r="U218" s="81"/>
      <c r="V218" s="67">
        <f t="shared" si="133"/>
        <v>0</v>
      </c>
      <c r="W218" s="44">
        <v>0</v>
      </c>
      <c r="X218" s="44">
        <f t="shared" si="135"/>
        <v>0</v>
      </c>
      <c r="Y218" s="45">
        <f t="shared" si="136"/>
        <v>0</v>
      </c>
      <c r="Z218" s="103">
        <f>(J218+K218+L218+M218)*E218</f>
        <v>0</v>
      </c>
      <c r="AA218" s="103">
        <f>Q218*E218</f>
        <v>0</v>
      </c>
      <c r="AB218" s="103">
        <f>(J218+K218+L218+M218+N218)*E218</f>
        <v>0</v>
      </c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</row>
    <row r="219" spans="1:42" s="93" customFormat="1">
      <c r="A219" s="175">
        <v>16</v>
      </c>
      <c r="B219" s="33" t="s">
        <v>336</v>
      </c>
      <c r="C219" s="34"/>
      <c r="D219" s="35"/>
      <c r="E219" s="36">
        <v>0</v>
      </c>
      <c r="F219" s="36"/>
      <c r="G219" s="36">
        <v>0</v>
      </c>
      <c r="H219" s="37">
        <f>SUM(H220:H231)</f>
        <v>41108.339999999997</v>
      </c>
      <c r="I219" s="50"/>
      <c r="J219" s="62"/>
      <c r="K219" s="62"/>
      <c r="L219" s="115"/>
      <c r="M219" s="62"/>
      <c r="N219" s="62"/>
      <c r="O219" s="62"/>
      <c r="P219" s="62"/>
      <c r="Q219" s="62"/>
      <c r="R219" s="115"/>
      <c r="S219" s="62"/>
      <c r="T219" s="62"/>
      <c r="U219" s="62"/>
      <c r="V219" s="37">
        <f>SUM(V220:V231)</f>
        <v>40414.256999999991</v>
      </c>
      <c r="W219" s="38"/>
      <c r="X219" s="155"/>
      <c r="Y219" s="38"/>
      <c r="Z219" s="37">
        <f>SUM(Z220:Z231)</f>
        <v>694.07999999999993</v>
      </c>
      <c r="AA219" s="37">
        <f>SUM(AA220:AA231)</f>
        <v>0</v>
      </c>
      <c r="AB219" s="37">
        <f>SUM(AB220:AB231)</f>
        <v>694.07999999999993</v>
      </c>
      <c r="AC219" s="1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</row>
    <row r="220" spans="1:42" s="91" customFormat="1" ht="38.25">
      <c r="A220" s="39" t="s">
        <v>337</v>
      </c>
      <c r="B220" s="40" t="s">
        <v>338</v>
      </c>
      <c r="C220" s="63" t="s">
        <v>8</v>
      </c>
      <c r="D220" s="64">
        <v>147</v>
      </c>
      <c r="E220" s="65">
        <v>124.25</v>
      </c>
      <c r="F220" s="41">
        <f t="shared" ref="F220:F222" si="140">U220</f>
        <v>147</v>
      </c>
      <c r="G220" s="65">
        <v>101.02</v>
      </c>
      <c r="H220" s="66">
        <f t="shared" ref="H220:H231" si="141">ROUND(D220*E220,2)</f>
        <v>18264.75</v>
      </c>
      <c r="I220" s="235" t="s">
        <v>524</v>
      </c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>
        <f t="shared" ref="T220:T232" si="142">SUM(J220:S220)</f>
        <v>0</v>
      </c>
      <c r="U220" s="67">
        <f t="shared" ref="U220:U231" si="143">D220-T220</f>
        <v>147</v>
      </c>
      <c r="V220" s="67">
        <f t="shared" ref="V220:V231" si="144">U220*E220</f>
        <v>18264.75</v>
      </c>
      <c r="W220" s="44">
        <f t="shared" ref="W220:W231" si="145">(SUM(J220:R220))/D220</f>
        <v>0</v>
      </c>
      <c r="X220" s="44">
        <f t="shared" ref="X220:X231" si="146">IF(D220=0,0,S220/D220)</f>
        <v>0</v>
      </c>
      <c r="Y220" s="45">
        <f t="shared" ref="Y220:Y230" si="147">W220+X220</f>
        <v>0</v>
      </c>
      <c r="Z220" s="103">
        <f t="shared" ref="Z220:Z231" si="148">(J220+K220+L220+M220+N220)*E220</f>
        <v>0</v>
      </c>
      <c r="AA220" s="103">
        <f t="shared" ref="AA220:AA222" si="149">S220*G220</f>
        <v>0</v>
      </c>
      <c r="AB220" s="103">
        <f t="shared" ref="AB220:AB231" si="150">(J220+K220+L220+M220+N220+O220)*E220</f>
        <v>0</v>
      </c>
      <c r="AC220" s="5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</row>
    <row r="221" spans="1:42" s="91" customFormat="1" ht="38.25">
      <c r="A221" s="39" t="s">
        <v>339</v>
      </c>
      <c r="B221" s="40" t="s">
        <v>340</v>
      </c>
      <c r="C221" s="63" t="s">
        <v>15</v>
      </c>
      <c r="D221" s="64">
        <v>4</v>
      </c>
      <c r="E221" s="65">
        <v>1078.55</v>
      </c>
      <c r="F221" s="41">
        <f t="shared" si="140"/>
        <v>4</v>
      </c>
      <c r="G221" s="65">
        <v>876.87</v>
      </c>
      <c r="H221" s="66">
        <f t="shared" si="141"/>
        <v>4314.2</v>
      </c>
      <c r="I221" s="182" t="s">
        <v>446</v>
      </c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>
        <f t="shared" si="142"/>
        <v>0</v>
      </c>
      <c r="U221" s="67">
        <f t="shared" si="143"/>
        <v>4</v>
      </c>
      <c r="V221" s="67">
        <f t="shared" si="144"/>
        <v>4314.2</v>
      </c>
      <c r="W221" s="44">
        <f t="shared" si="145"/>
        <v>0</v>
      </c>
      <c r="X221" s="44">
        <f t="shared" si="146"/>
        <v>0</v>
      </c>
      <c r="Y221" s="45">
        <f t="shared" si="147"/>
        <v>0</v>
      </c>
      <c r="Z221" s="103">
        <f t="shared" si="148"/>
        <v>0</v>
      </c>
      <c r="AA221" s="103">
        <f t="shared" si="149"/>
        <v>0</v>
      </c>
      <c r="AB221" s="103">
        <f t="shared" si="150"/>
        <v>0</v>
      </c>
      <c r="AC221" s="5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</row>
    <row r="222" spans="1:42" s="91" customFormat="1" ht="38.25">
      <c r="A222" s="39" t="s">
        <v>341</v>
      </c>
      <c r="B222" s="40" t="s">
        <v>342</v>
      </c>
      <c r="C222" s="63" t="s">
        <v>105</v>
      </c>
      <c r="D222" s="64">
        <v>4.8</v>
      </c>
      <c r="E222" s="65">
        <v>146.54</v>
      </c>
      <c r="F222" s="41">
        <f t="shared" si="140"/>
        <v>4.8</v>
      </c>
      <c r="G222" s="65">
        <v>119.14</v>
      </c>
      <c r="H222" s="66">
        <f t="shared" si="141"/>
        <v>703.39</v>
      </c>
      <c r="I222" s="235" t="s">
        <v>525</v>
      </c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>
        <f t="shared" si="142"/>
        <v>0</v>
      </c>
      <c r="U222" s="67">
        <f t="shared" si="143"/>
        <v>4.8</v>
      </c>
      <c r="V222" s="67">
        <f t="shared" si="144"/>
        <v>703.39199999999994</v>
      </c>
      <c r="W222" s="44">
        <f t="shared" si="145"/>
        <v>0</v>
      </c>
      <c r="X222" s="44">
        <f t="shared" si="146"/>
        <v>0</v>
      </c>
      <c r="Y222" s="45">
        <f t="shared" si="147"/>
        <v>0</v>
      </c>
      <c r="Z222" s="103">
        <f t="shared" si="148"/>
        <v>0</v>
      </c>
      <c r="AA222" s="103">
        <f t="shared" si="149"/>
        <v>0</v>
      </c>
      <c r="AB222" s="103">
        <f t="shared" si="150"/>
        <v>0</v>
      </c>
      <c r="AC222" s="5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</row>
    <row r="223" spans="1:42" s="91" customFormat="1" ht="25.5">
      <c r="A223" s="145" t="s">
        <v>343</v>
      </c>
      <c r="B223" s="215" t="s">
        <v>344</v>
      </c>
      <c r="C223" s="216" t="s">
        <v>105</v>
      </c>
      <c r="D223" s="64">
        <v>4.8</v>
      </c>
      <c r="E223" s="65">
        <v>144.6</v>
      </c>
      <c r="F223" s="217"/>
      <c r="G223" s="65">
        <v>117.56</v>
      </c>
      <c r="H223" s="66">
        <f t="shared" si="141"/>
        <v>694.08</v>
      </c>
      <c r="I223" s="192" t="s">
        <v>526</v>
      </c>
      <c r="J223" s="67"/>
      <c r="K223" s="67">
        <v>4.8</v>
      </c>
      <c r="L223" s="67"/>
      <c r="M223" s="67"/>
      <c r="N223" s="67"/>
      <c r="O223" s="67"/>
      <c r="P223" s="67"/>
      <c r="Q223" s="67"/>
      <c r="R223" s="67"/>
      <c r="S223" s="67"/>
      <c r="T223" s="67">
        <f>SUM(J223:S223)</f>
        <v>4.8</v>
      </c>
      <c r="U223" s="67">
        <f t="shared" si="143"/>
        <v>0</v>
      </c>
      <c r="V223" s="67">
        <f t="shared" si="144"/>
        <v>0</v>
      </c>
      <c r="W223" s="44">
        <f t="shared" si="145"/>
        <v>1</v>
      </c>
      <c r="X223" s="44">
        <f t="shared" si="146"/>
        <v>0</v>
      </c>
      <c r="Y223" s="45">
        <f t="shared" si="147"/>
        <v>1</v>
      </c>
      <c r="Z223" s="103">
        <f t="shared" si="148"/>
        <v>694.07999999999993</v>
      </c>
      <c r="AA223" s="103">
        <f>Q223*E223</f>
        <v>0</v>
      </c>
      <c r="AB223" s="103">
        <f t="shared" si="150"/>
        <v>694.07999999999993</v>
      </c>
      <c r="AC223" s="5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</row>
    <row r="224" spans="1:42" ht="38.25">
      <c r="A224" s="39" t="s">
        <v>345</v>
      </c>
      <c r="B224" s="40" t="s">
        <v>346</v>
      </c>
      <c r="C224" s="39" t="s">
        <v>15</v>
      </c>
      <c r="D224" s="41">
        <v>2</v>
      </c>
      <c r="E224" s="42">
        <v>187.17</v>
      </c>
      <c r="F224" s="41">
        <f t="shared" ref="F224:F231" si="151">U224</f>
        <v>2</v>
      </c>
      <c r="G224" s="42">
        <v>152.16999999999999</v>
      </c>
      <c r="H224" s="43">
        <f t="shared" si="141"/>
        <v>374.34</v>
      </c>
      <c r="I224" s="181" t="s">
        <v>446</v>
      </c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>
        <f t="shared" si="142"/>
        <v>0</v>
      </c>
      <c r="U224" s="67">
        <f t="shared" si="143"/>
        <v>2</v>
      </c>
      <c r="V224" s="67">
        <f t="shared" si="144"/>
        <v>374.34</v>
      </c>
      <c r="W224" s="44">
        <f t="shared" si="145"/>
        <v>0</v>
      </c>
      <c r="X224" s="44">
        <f t="shared" si="146"/>
        <v>0</v>
      </c>
      <c r="Y224" s="45">
        <f t="shared" si="147"/>
        <v>0</v>
      </c>
      <c r="Z224" s="103">
        <f t="shared" si="148"/>
        <v>0</v>
      </c>
      <c r="AA224" s="103">
        <f t="shared" ref="AA224:AA231" si="152">S224*G224</f>
        <v>0</v>
      </c>
      <c r="AB224" s="103">
        <f t="shared" si="150"/>
        <v>0</v>
      </c>
      <c r="AC224" s="5"/>
    </row>
    <row r="225" spans="1:42" ht="38.25">
      <c r="A225" s="39" t="s">
        <v>347</v>
      </c>
      <c r="B225" s="40" t="s">
        <v>348</v>
      </c>
      <c r="C225" s="39" t="s">
        <v>15</v>
      </c>
      <c r="D225" s="41">
        <v>8</v>
      </c>
      <c r="E225" s="42">
        <v>106.95</v>
      </c>
      <c r="F225" s="41">
        <f t="shared" si="151"/>
        <v>8</v>
      </c>
      <c r="G225" s="42">
        <v>86.95</v>
      </c>
      <c r="H225" s="43">
        <f t="shared" si="141"/>
        <v>855.6</v>
      </c>
      <c r="I225" s="235" t="s">
        <v>527</v>
      </c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>
        <f t="shared" si="142"/>
        <v>0</v>
      </c>
      <c r="U225" s="67">
        <f t="shared" si="143"/>
        <v>8</v>
      </c>
      <c r="V225" s="67">
        <f t="shared" si="144"/>
        <v>855.6</v>
      </c>
      <c r="W225" s="44">
        <f t="shared" si="145"/>
        <v>0</v>
      </c>
      <c r="X225" s="44">
        <f t="shared" si="146"/>
        <v>0</v>
      </c>
      <c r="Y225" s="45">
        <f t="shared" si="147"/>
        <v>0</v>
      </c>
      <c r="Z225" s="103">
        <f t="shared" si="148"/>
        <v>0</v>
      </c>
      <c r="AA225" s="103">
        <f t="shared" si="152"/>
        <v>0</v>
      </c>
      <c r="AB225" s="103">
        <f t="shared" si="150"/>
        <v>0</v>
      </c>
      <c r="AC225" s="5"/>
    </row>
    <row r="226" spans="1:42" s="91" customFormat="1">
      <c r="A226" s="39" t="s">
        <v>349</v>
      </c>
      <c r="B226" s="40" t="s">
        <v>350</v>
      </c>
      <c r="C226" s="63" t="s">
        <v>8</v>
      </c>
      <c r="D226" s="64">
        <v>4.5</v>
      </c>
      <c r="E226" s="65">
        <v>332.7</v>
      </c>
      <c r="F226" s="41">
        <f t="shared" si="151"/>
        <v>4.5</v>
      </c>
      <c r="G226" s="65">
        <v>270.49</v>
      </c>
      <c r="H226" s="66">
        <f t="shared" si="141"/>
        <v>1497.15</v>
      </c>
      <c r="I226" s="235" t="s">
        <v>528</v>
      </c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>
        <f t="shared" si="142"/>
        <v>0</v>
      </c>
      <c r="U226" s="67">
        <f t="shared" si="143"/>
        <v>4.5</v>
      </c>
      <c r="V226" s="67">
        <f t="shared" si="144"/>
        <v>1497.1499999999999</v>
      </c>
      <c r="W226" s="44">
        <f t="shared" si="145"/>
        <v>0</v>
      </c>
      <c r="X226" s="44">
        <f t="shared" si="146"/>
        <v>0</v>
      </c>
      <c r="Y226" s="45">
        <f t="shared" si="147"/>
        <v>0</v>
      </c>
      <c r="Z226" s="103">
        <f t="shared" si="148"/>
        <v>0</v>
      </c>
      <c r="AA226" s="103">
        <f t="shared" si="152"/>
        <v>0</v>
      </c>
      <c r="AB226" s="103">
        <f t="shared" si="150"/>
        <v>0</v>
      </c>
      <c r="AC226" s="5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90"/>
    </row>
    <row r="227" spans="1:42" s="91" customFormat="1">
      <c r="A227" s="39" t="s">
        <v>351</v>
      </c>
      <c r="B227" s="40" t="s">
        <v>352</v>
      </c>
      <c r="C227" s="63" t="s">
        <v>353</v>
      </c>
      <c r="D227" s="64">
        <v>1</v>
      </c>
      <c r="E227" s="65">
        <v>8150.35</v>
      </c>
      <c r="F227" s="41">
        <f t="shared" si="151"/>
        <v>1</v>
      </c>
      <c r="G227" s="65">
        <v>6626.3</v>
      </c>
      <c r="H227" s="66">
        <f t="shared" si="141"/>
        <v>8150.35</v>
      </c>
      <c r="I227" s="182" t="s">
        <v>446</v>
      </c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>
        <f t="shared" si="142"/>
        <v>0</v>
      </c>
      <c r="U227" s="67">
        <f t="shared" si="143"/>
        <v>1</v>
      </c>
      <c r="V227" s="67">
        <f t="shared" si="144"/>
        <v>8150.35</v>
      </c>
      <c r="W227" s="44">
        <f t="shared" si="145"/>
        <v>0</v>
      </c>
      <c r="X227" s="44">
        <f t="shared" si="146"/>
        <v>0</v>
      </c>
      <c r="Y227" s="45">
        <f t="shared" si="147"/>
        <v>0</v>
      </c>
      <c r="Z227" s="103">
        <f t="shared" si="148"/>
        <v>0</v>
      </c>
      <c r="AA227" s="103">
        <f t="shared" si="152"/>
        <v>0</v>
      </c>
      <c r="AB227" s="103">
        <f t="shared" si="150"/>
        <v>0</v>
      </c>
      <c r="AC227" s="5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</row>
    <row r="228" spans="1:42" s="91" customFormat="1">
      <c r="A228" s="39" t="s">
        <v>354</v>
      </c>
      <c r="B228" s="40" t="s">
        <v>355</v>
      </c>
      <c r="C228" s="63" t="s">
        <v>353</v>
      </c>
      <c r="D228" s="64">
        <v>1</v>
      </c>
      <c r="E228" s="65">
        <v>3425.41</v>
      </c>
      <c r="F228" s="41">
        <f t="shared" si="151"/>
        <v>1</v>
      </c>
      <c r="G228" s="65">
        <v>2784.89</v>
      </c>
      <c r="H228" s="66">
        <f t="shared" si="141"/>
        <v>3425.41</v>
      </c>
      <c r="I228" s="182" t="s">
        <v>446</v>
      </c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>
        <f t="shared" si="142"/>
        <v>0</v>
      </c>
      <c r="U228" s="67">
        <f t="shared" si="143"/>
        <v>1</v>
      </c>
      <c r="V228" s="67">
        <f t="shared" si="144"/>
        <v>3425.41</v>
      </c>
      <c r="W228" s="44">
        <f t="shared" si="145"/>
        <v>0</v>
      </c>
      <c r="X228" s="44">
        <f t="shared" si="146"/>
        <v>0</v>
      </c>
      <c r="Y228" s="45">
        <f t="shared" si="147"/>
        <v>0</v>
      </c>
      <c r="Z228" s="103">
        <f t="shared" si="148"/>
        <v>0</v>
      </c>
      <c r="AA228" s="103">
        <f t="shared" si="152"/>
        <v>0</v>
      </c>
      <c r="AB228" s="103">
        <f t="shared" si="150"/>
        <v>0</v>
      </c>
      <c r="AC228" s="5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</row>
    <row r="229" spans="1:42" s="91" customFormat="1">
      <c r="A229" s="39" t="s">
        <v>356</v>
      </c>
      <c r="B229" s="40" t="s">
        <v>357</v>
      </c>
      <c r="C229" s="63" t="s">
        <v>353</v>
      </c>
      <c r="D229" s="64">
        <v>1</v>
      </c>
      <c r="E229" s="65">
        <v>965.34</v>
      </c>
      <c r="F229" s="41">
        <f t="shared" si="151"/>
        <v>1</v>
      </c>
      <c r="G229" s="65">
        <v>784.83</v>
      </c>
      <c r="H229" s="66">
        <f t="shared" si="141"/>
        <v>965.34</v>
      </c>
      <c r="I229" s="182" t="s">
        <v>446</v>
      </c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>
        <f t="shared" si="142"/>
        <v>0</v>
      </c>
      <c r="U229" s="67">
        <f t="shared" si="143"/>
        <v>1</v>
      </c>
      <c r="V229" s="67">
        <f t="shared" si="144"/>
        <v>965.34</v>
      </c>
      <c r="W229" s="44">
        <f t="shared" si="145"/>
        <v>0</v>
      </c>
      <c r="X229" s="44">
        <f t="shared" si="146"/>
        <v>0</v>
      </c>
      <c r="Y229" s="45">
        <f t="shared" si="147"/>
        <v>0</v>
      </c>
      <c r="Z229" s="103">
        <f t="shared" si="148"/>
        <v>0</v>
      </c>
      <c r="AA229" s="103">
        <f t="shared" si="152"/>
        <v>0</v>
      </c>
      <c r="AB229" s="103">
        <f t="shared" si="150"/>
        <v>0</v>
      </c>
      <c r="AC229" s="5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</row>
    <row r="230" spans="1:42" s="91" customFormat="1">
      <c r="A230" s="39" t="s">
        <v>358</v>
      </c>
      <c r="B230" s="40" t="s">
        <v>359</v>
      </c>
      <c r="C230" s="63" t="s">
        <v>105</v>
      </c>
      <c r="D230" s="64">
        <v>2.9</v>
      </c>
      <c r="E230" s="65">
        <v>33.630000000000003</v>
      </c>
      <c r="F230" s="41">
        <f t="shared" si="151"/>
        <v>2.9</v>
      </c>
      <c r="G230" s="65">
        <v>27.34</v>
      </c>
      <c r="H230" s="66">
        <f t="shared" si="141"/>
        <v>97.53</v>
      </c>
      <c r="I230" s="182" t="s">
        <v>446</v>
      </c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>
        <f t="shared" si="142"/>
        <v>0</v>
      </c>
      <c r="U230" s="67">
        <f t="shared" si="143"/>
        <v>2.9</v>
      </c>
      <c r="V230" s="67">
        <f t="shared" si="144"/>
        <v>97.527000000000001</v>
      </c>
      <c r="W230" s="44">
        <f t="shared" si="145"/>
        <v>0</v>
      </c>
      <c r="X230" s="44">
        <f t="shared" si="146"/>
        <v>0</v>
      </c>
      <c r="Y230" s="45">
        <f t="shared" si="147"/>
        <v>0</v>
      </c>
      <c r="Z230" s="103">
        <f t="shared" si="148"/>
        <v>0</v>
      </c>
      <c r="AA230" s="103">
        <f t="shared" si="152"/>
        <v>0</v>
      </c>
      <c r="AB230" s="103">
        <f t="shared" si="150"/>
        <v>0</v>
      </c>
      <c r="AC230" s="5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</row>
    <row r="231" spans="1:42">
      <c r="A231" s="39" t="s">
        <v>360</v>
      </c>
      <c r="B231" s="40" t="s">
        <v>361</v>
      </c>
      <c r="C231" s="39" t="s">
        <v>8</v>
      </c>
      <c r="D231" s="41">
        <v>861.56</v>
      </c>
      <c r="E231" s="42">
        <v>2.0499999999999998</v>
      </c>
      <c r="F231" s="41">
        <f t="shared" si="151"/>
        <v>861.56</v>
      </c>
      <c r="G231" s="42">
        <v>1.67</v>
      </c>
      <c r="H231" s="43">
        <f t="shared" si="141"/>
        <v>1766.2</v>
      </c>
      <c r="I231" s="181" t="s">
        <v>446</v>
      </c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>
        <f t="shared" si="142"/>
        <v>0</v>
      </c>
      <c r="U231" s="67">
        <f t="shared" si="143"/>
        <v>861.56</v>
      </c>
      <c r="V231" s="67">
        <f t="shared" si="144"/>
        <v>1766.1979999999996</v>
      </c>
      <c r="W231" s="44">
        <f t="shared" si="145"/>
        <v>0</v>
      </c>
      <c r="X231" s="44">
        <f t="shared" si="146"/>
        <v>0</v>
      </c>
      <c r="Y231" s="45">
        <f>W231+X231</f>
        <v>0</v>
      </c>
      <c r="Z231" s="103">
        <f t="shared" si="148"/>
        <v>0</v>
      </c>
      <c r="AA231" s="103">
        <f t="shared" si="152"/>
        <v>0</v>
      </c>
      <c r="AB231" s="103">
        <f t="shared" si="150"/>
        <v>0</v>
      </c>
      <c r="AC231" s="5"/>
    </row>
    <row r="232" spans="1:42" s="91" customFormat="1">
      <c r="A232" s="229"/>
      <c r="B232" s="229"/>
      <c r="C232" s="229"/>
      <c r="D232" s="60"/>
      <c r="E232" s="61"/>
      <c r="F232" s="230"/>
      <c r="G232" s="61"/>
      <c r="H232" s="61"/>
      <c r="I232" s="23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67">
        <f t="shared" si="142"/>
        <v>0</v>
      </c>
      <c r="U232" s="81"/>
      <c r="V232" s="81"/>
      <c r="W232" s="61"/>
      <c r="X232" s="152"/>
      <c r="Y232" s="61"/>
      <c r="Z232" s="104"/>
      <c r="AA232" s="103">
        <f>Q232*E232</f>
        <v>0</v>
      </c>
      <c r="AB232" s="105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</row>
    <row r="233" spans="1:42" s="93" customFormat="1">
      <c r="A233" s="431" t="s">
        <v>362</v>
      </c>
      <c r="B233" s="431"/>
      <c r="C233" s="431"/>
      <c r="D233" s="431"/>
      <c r="E233" s="50"/>
      <c r="F233" s="50"/>
      <c r="G233" s="50"/>
      <c r="H233" s="37">
        <f>H27+H35+H42+H53+H65+H72+H76+H82+H89+H96+H106+H149+H172+H179+H211+H219</f>
        <v>550199.43999999994</v>
      </c>
      <c r="I233" s="50"/>
      <c r="J233" s="62"/>
      <c r="K233" s="62"/>
      <c r="L233" s="115"/>
      <c r="M233" s="62"/>
      <c r="N233" s="62"/>
      <c r="O233" s="62"/>
      <c r="P233" s="62"/>
      <c r="Q233" s="62"/>
      <c r="R233" s="115"/>
      <c r="S233" s="62"/>
      <c r="T233" s="62"/>
      <c r="U233" s="62"/>
      <c r="V233" s="37" t="e">
        <f>V27+V35+V42+V53+V65+V72+V76+V82+V89+V96+V106+V149+V172+V179+V211+V219</f>
        <v>#REF!</v>
      </c>
      <c r="W233" s="38">
        <f>Z233/H233</f>
        <v>0.44586926919627551</v>
      </c>
      <c r="X233" s="38" t="e">
        <f>AA233/H233</f>
        <v>#REF!</v>
      </c>
      <c r="Y233" s="38">
        <f>AB233/H233</f>
        <v>0.48745338603943339</v>
      </c>
      <c r="Z233" s="37">
        <f>Z27+Z35+Z42+Z53+Z65+Z72+Z76+Z82+Z89+Z96+Z106+Z149+Z172+Z179+Z211+Z219</f>
        <v>245317.02222500002</v>
      </c>
      <c r="AA233" s="37" t="e">
        <f>AA27+AA35+AA42+AA53+AA65+AA72+AA76+AA82+AA89+AA96+AA106+AA149+AA172+AA179+AA211+AA219</f>
        <v>#REF!</v>
      </c>
      <c r="AB233" s="37">
        <f>AB27+AB35+AB42+AB53+AB65+AB72+AB76+AB82+AB89+AB96+AB106+AB149+AB172+AB179+AB211+AB219</f>
        <v>268196.58002500003</v>
      </c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</row>
    <row r="234" spans="1:42">
      <c r="F234" s="99"/>
      <c r="W234" s="99"/>
      <c r="X234" s="156"/>
      <c r="Y234" s="99"/>
      <c r="Z234" s="98"/>
      <c r="AA234" s="103">
        <f t="shared" ref="AA234:AA265" si="153">Q234*E234</f>
        <v>0</v>
      </c>
      <c r="AB234" s="86"/>
    </row>
    <row r="235" spans="1:42">
      <c r="F235" s="99"/>
      <c r="W235" s="99"/>
      <c r="X235" s="156"/>
      <c r="Y235" s="99"/>
      <c r="Z235" s="98"/>
      <c r="AA235" s="103">
        <f t="shared" si="153"/>
        <v>0</v>
      </c>
      <c r="AB235" s="86"/>
    </row>
    <row r="236" spans="1:42">
      <c r="F236" s="99"/>
      <c r="W236" s="99"/>
      <c r="X236" s="156"/>
      <c r="Y236" s="99"/>
      <c r="Z236" s="98"/>
      <c r="AA236" s="103">
        <f t="shared" si="153"/>
        <v>0</v>
      </c>
      <c r="AB236" s="86"/>
    </row>
    <row r="237" spans="1:42">
      <c r="F237" s="99"/>
      <c r="W237" s="99"/>
      <c r="X237" s="156"/>
      <c r="Y237" s="99"/>
      <c r="Z237" s="98"/>
      <c r="AA237" s="103">
        <f t="shared" si="153"/>
        <v>0</v>
      </c>
      <c r="AB237" s="86"/>
    </row>
    <row r="238" spans="1:42">
      <c r="F238" s="99"/>
      <c r="W238" s="99"/>
      <c r="X238" s="156"/>
      <c r="Y238" s="99"/>
      <c r="Z238" s="98"/>
      <c r="AA238" s="103">
        <f t="shared" si="153"/>
        <v>0</v>
      </c>
      <c r="AB238" s="86"/>
    </row>
    <row r="239" spans="1:42">
      <c r="F239" s="99"/>
      <c r="W239" s="99"/>
      <c r="X239" s="156"/>
      <c r="Y239" s="99"/>
      <c r="Z239" s="98"/>
      <c r="AA239" s="103">
        <f t="shared" si="153"/>
        <v>0</v>
      </c>
      <c r="AB239" s="86"/>
    </row>
    <row r="240" spans="1:42">
      <c r="T240" s="67">
        <f t="shared" ref="T240:T303" si="154">SUM(J240:R240)</f>
        <v>0</v>
      </c>
      <c r="Z240" s="98"/>
      <c r="AA240" s="103">
        <f t="shared" si="153"/>
        <v>0</v>
      </c>
      <c r="AB240" s="86"/>
    </row>
    <row r="241" spans="16:28">
      <c r="T241" s="67">
        <f t="shared" si="154"/>
        <v>0</v>
      </c>
      <c r="Z241" s="98"/>
      <c r="AA241" s="103">
        <f t="shared" si="153"/>
        <v>0</v>
      </c>
      <c r="AB241" s="86"/>
    </row>
    <row r="242" spans="16:28">
      <c r="T242" s="67">
        <f t="shared" si="154"/>
        <v>0</v>
      </c>
      <c r="Z242" s="98"/>
      <c r="AA242" s="103">
        <f t="shared" si="153"/>
        <v>0</v>
      </c>
      <c r="AB242" s="86"/>
    </row>
    <row r="243" spans="16:28">
      <c r="P243" s="101">
        <f>P244+R73</f>
        <v>1010.5600000000001</v>
      </c>
      <c r="Q243" s="101">
        <f>Q244-P243</f>
        <v>103.43999999999994</v>
      </c>
      <c r="T243" s="67">
        <f t="shared" si="154"/>
        <v>1114</v>
      </c>
      <c r="Z243" s="98"/>
      <c r="AA243" s="103">
        <f t="shared" si="153"/>
        <v>0</v>
      </c>
      <c r="AB243" s="86"/>
    </row>
    <row r="244" spans="16:28">
      <c r="P244" s="101">
        <f>Q73+P73+O73+N73</f>
        <v>851.42000000000007</v>
      </c>
      <c r="Q244" s="101">
        <v>1114</v>
      </c>
      <c r="T244" s="67">
        <f t="shared" si="154"/>
        <v>1965.42</v>
      </c>
      <c r="Z244" s="98"/>
      <c r="AA244" s="103">
        <f t="shared" si="153"/>
        <v>0</v>
      </c>
      <c r="AB244" s="86"/>
    </row>
    <row r="245" spans="16:28">
      <c r="Q245" s="101">
        <f>Q244-P244</f>
        <v>262.57999999999993</v>
      </c>
      <c r="T245" s="67">
        <f t="shared" si="154"/>
        <v>262.57999999999993</v>
      </c>
      <c r="Z245" s="98"/>
      <c r="AA245" s="103">
        <f t="shared" si="153"/>
        <v>0</v>
      </c>
      <c r="AB245" s="86"/>
    </row>
    <row r="246" spans="16:28">
      <c r="T246" s="67">
        <f t="shared" si="154"/>
        <v>0</v>
      </c>
      <c r="Z246" s="98"/>
      <c r="AA246" s="103">
        <f t="shared" si="153"/>
        <v>0</v>
      </c>
      <c r="AB246" s="86"/>
    </row>
    <row r="247" spans="16:28">
      <c r="T247" s="67">
        <f t="shared" si="154"/>
        <v>0</v>
      </c>
      <c r="Z247" s="98"/>
      <c r="AA247" s="103">
        <f t="shared" si="153"/>
        <v>0</v>
      </c>
      <c r="AB247" s="86"/>
    </row>
    <row r="248" spans="16:28">
      <c r="T248" s="67">
        <f t="shared" si="154"/>
        <v>0</v>
      </c>
      <c r="Z248" s="98"/>
      <c r="AA248" s="103">
        <f t="shared" si="153"/>
        <v>0</v>
      </c>
      <c r="AB248" s="86"/>
    </row>
    <row r="249" spans="16:28">
      <c r="T249" s="67">
        <f t="shared" si="154"/>
        <v>0</v>
      </c>
      <c r="Z249" s="98"/>
      <c r="AA249" s="103">
        <f t="shared" si="153"/>
        <v>0</v>
      </c>
      <c r="AB249" s="86"/>
    </row>
    <row r="250" spans="16:28">
      <c r="T250" s="67">
        <f t="shared" si="154"/>
        <v>0</v>
      </c>
      <c r="Z250" s="98"/>
      <c r="AA250" s="103">
        <f t="shared" si="153"/>
        <v>0</v>
      </c>
      <c r="AB250" s="86"/>
    </row>
    <row r="251" spans="16:28">
      <c r="T251" s="67">
        <f t="shared" si="154"/>
        <v>0</v>
      </c>
      <c r="Z251" s="98"/>
      <c r="AA251" s="103">
        <f t="shared" si="153"/>
        <v>0</v>
      </c>
      <c r="AB251" s="86"/>
    </row>
    <row r="252" spans="16:28">
      <c r="T252" s="67">
        <f t="shared" si="154"/>
        <v>0</v>
      </c>
      <c r="Z252" s="98"/>
      <c r="AA252" s="103">
        <f t="shared" si="153"/>
        <v>0</v>
      </c>
      <c r="AB252" s="86"/>
    </row>
    <row r="253" spans="16:28">
      <c r="T253" s="67">
        <f t="shared" si="154"/>
        <v>0</v>
      </c>
      <c r="Z253" s="98"/>
      <c r="AA253" s="103">
        <f t="shared" si="153"/>
        <v>0</v>
      </c>
      <c r="AB253" s="86"/>
    </row>
    <row r="254" spans="16:28">
      <c r="T254" s="67">
        <f t="shared" si="154"/>
        <v>0</v>
      </c>
      <c r="Z254" s="98"/>
      <c r="AA254" s="103">
        <f t="shared" si="153"/>
        <v>0</v>
      </c>
      <c r="AB254" s="86"/>
    </row>
    <row r="255" spans="16:28">
      <c r="T255" s="67">
        <f t="shared" si="154"/>
        <v>0</v>
      </c>
      <c r="Z255" s="98"/>
      <c r="AA255" s="103">
        <f t="shared" si="153"/>
        <v>0</v>
      </c>
      <c r="AB255" s="86"/>
    </row>
    <row r="256" spans="16:28">
      <c r="T256" s="67">
        <f t="shared" si="154"/>
        <v>0</v>
      </c>
      <c r="Z256" s="98"/>
      <c r="AA256" s="103">
        <f t="shared" si="153"/>
        <v>0</v>
      </c>
      <c r="AB256" s="86"/>
    </row>
    <row r="257" spans="20:28">
      <c r="T257" s="67">
        <f t="shared" si="154"/>
        <v>0</v>
      </c>
      <c r="Z257" s="98"/>
      <c r="AA257" s="103">
        <f t="shared" si="153"/>
        <v>0</v>
      </c>
      <c r="AB257" s="86"/>
    </row>
    <row r="258" spans="20:28">
      <c r="T258" s="67">
        <f t="shared" si="154"/>
        <v>0</v>
      </c>
      <c r="Z258" s="98"/>
      <c r="AA258" s="103">
        <f t="shared" si="153"/>
        <v>0</v>
      </c>
      <c r="AB258" s="86"/>
    </row>
    <row r="259" spans="20:28">
      <c r="T259" s="67">
        <f t="shared" si="154"/>
        <v>0</v>
      </c>
      <c r="Z259" s="98"/>
      <c r="AA259" s="103">
        <f t="shared" si="153"/>
        <v>0</v>
      </c>
      <c r="AB259" s="86"/>
    </row>
    <row r="260" spans="20:28">
      <c r="T260" s="67">
        <f t="shared" si="154"/>
        <v>0</v>
      </c>
      <c r="Z260" s="98"/>
      <c r="AA260" s="103">
        <f t="shared" si="153"/>
        <v>0</v>
      </c>
      <c r="AB260" s="86"/>
    </row>
    <row r="261" spans="20:28">
      <c r="T261" s="67">
        <f t="shared" si="154"/>
        <v>0</v>
      </c>
      <c r="Z261" s="98"/>
      <c r="AA261" s="103">
        <f t="shared" si="153"/>
        <v>0</v>
      </c>
      <c r="AB261" s="86"/>
    </row>
    <row r="262" spans="20:28">
      <c r="T262" s="67">
        <f t="shared" si="154"/>
        <v>0</v>
      </c>
      <c r="Z262" s="98"/>
      <c r="AA262" s="103">
        <f t="shared" si="153"/>
        <v>0</v>
      </c>
      <c r="AB262" s="86"/>
    </row>
    <row r="263" spans="20:28">
      <c r="T263" s="67">
        <f t="shared" si="154"/>
        <v>0</v>
      </c>
      <c r="Z263" s="98"/>
      <c r="AA263" s="103">
        <f t="shared" si="153"/>
        <v>0</v>
      </c>
      <c r="AB263" s="86"/>
    </row>
    <row r="264" spans="20:28">
      <c r="T264" s="67">
        <f t="shared" si="154"/>
        <v>0</v>
      </c>
      <c r="Z264" s="98"/>
      <c r="AA264" s="103">
        <f t="shared" si="153"/>
        <v>0</v>
      </c>
      <c r="AB264" s="86"/>
    </row>
    <row r="265" spans="20:28">
      <c r="T265" s="67">
        <f t="shared" si="154"/>
        <v>0</v>
      </c>
      <c r="Z265" s="98"/>
      <c r="AA265" s="103">
        <f t="shared" si="153"/>
        <v>0</v>
      </c>
      <c r="AB265" s="86"/>
    </row>
    <row r="266" spans="20:28">
      <c r="T266" s="67">
        <f t="shared" si="154"/>
        <v>0</v>
      </c>
      <c r="Z266" s="98"/>
      <c r="AA266" s="103">
        <f t="shared" ref="AA266:AA297" si="155">Q266*E266</f>
        <v>0</v>
      </c>
      <c r="AB266" s="86"/>
    </row>
    <row r="267" spans="20:28">
      <c r="T267" s="67">
        <f t="shared" si="154"/>
        <v>0</v>
      </c>
      <c r="Z267" s="98"/>
      <c r="AA267" s="103">
        <f t="shared" si="155"/>
        <v>0</v>
      </c>
      <c r="AB267" s="86"/>
    </row>
    <row r="268" spans="20:28">
      <c r="T268" s="67">
        <f t="shared" si="154"/>
        <v>0</v>
      </c>
      <c r="Z268" s="98"/>
      <c r="AA268" s="103">
        <f t="shared" si="155"/>
        <v>0</v>
      </c>
      <c r="AB268" s="86"/>
    </row>
    <row r="269" spans="20:28">
      <c r="T269" s="67">
        <f t="shared" si="154"/>
        <v>0</v>
      </c>
      <c r="Z269" s="98"/>
      <c r="AA269" s="103">
        <f t="shared" si="155"/>
        <v>0</v>
      </c>
      <c r="AB269" s="86"/>
    </row>
    <row r="270" spans="20:28">
      <c r="T270" s="67">
        <f t="shared" si="154"/>
        <v>0</v>
      </c>
      <c r="Z270" s="98"/>
      <c r="AA270" s="103">
        <f t="shared" si="155"/>
        <v>0</v>
      </c>
      <c r="AB270" s="86"/>
    </row>
    <row r="271" spans="20:28">
      <c r="T271" s="67">
        <f t="shared" si="154"/>
        <v>0</v>
      </c>
      <c r="Z271" s="98"/>
      <c r="AA271" s="103">
        <f t="shared" si="155"/>
        <v>0</v>
      </c>
      <c r="AB271" s="86"/>
    </row>
    <row r="272" spans="20:28">
      <c r="T272" s="67">
        <f t="shared" si="154"/>
        <v>0</v>
      </c>
      <c r="Z272" s="98"/>
      <c r="AA272" s="103">
        <f t="shared" si="155"/>
        <v>0</v>
      </c>
      <c r="AB272" s="86"/>
    </row>
    <row r="273" spans="20:28">
      <c r="T273" s="67">
        <f t="shared" si="154"/>
        <v>0</v>
      </c>
      <c r="Z273" s="98"/>
      <c r="AA273" s="103">
        <f t="shared" si="155"/>
        <v>0</v>
      </c>
      <c r="AB273" s="86"/>
    </row>
    <row r="274" spans="20:28">
      <c r="T274" s="67">
        <f t="shared" si="154"/>
        <v>0</v>
      </c>
      <c r="Z274" s="98"/>
      <c r="AA274" s="103">
        <f t="shared" si="155"/>
        <v>0</v>
      </c>
      <c r="AB274" s="86"/>
    </row>
    <row r="275" spans="20:28">
      <c r="T275" s="67">
        <f t="shared" si="154"/>
        <v>0</v>
      </c>
      <c r="Z275" s="98"/>
      <c r="AA275" s="103">
        <f t="shared" si="155"/>
        <v>0</v>
      </c>
      <c r="AB275" s="86"/>
    </row>
    <row r="276" spans="20:28">
      <c r="T276" s="67">
        <f t="shared" si="154"/>
        <v>0</v>
      </c>
      <c r="Z276" s="98"/>
      <c r="AA276" s="103">
        <f t="shared" si="155"/>
        <v>0</v>
      </c>
      <c r="AB276" s="86"/>
    </row>
    <row r="277" spans="20:28">
      <c r="T277" s="67">
        <f t="shared" si="154"/>
        <v>0</v>
      </c>
      <c r="Z277" s="98"/>
      <c r="AA277" s="103">
        <f t="shared" si="155"/>
        <v>0</v>
      </c>
      <c r="AB277" s="86"/>
    </row>
    <row r="278" spans="20:28">
      <c r="T278" s="67">
        <f t="shared" si="154"/>
        <v>0</v>
      </c>
      <c r="Z278" s="98"/>
      <c r="AA278" s="103">
        <f t="shared" si="155"/>
        <v>0</v>
      </c>
      <c r="AB278" s="86"/>
    </row>
    <row r="279" spans="20:28">
      <c r="T279" s="67">
        <f t="shared" si="154"/>
        <v>0</v>
      </c>
      <c r="Z279" s="98"/>
      <c r="AA279" s="103">
        <f t="shared" si="155"/>
        <v>0</v>
      </c>
      <c r="AB279" s="86"/>
    </row>
    <row r="280" spans="20:28">
      <c r="T280" s="67">
        <f t="shared" si="154"/>
        <v>0</v>
      </c>
      <c r="Z280" s="98"/>
      <c r="AA280" s="103">
        <f t="shared" si="155"/>
        <v>0</v>
      </c>
      <c r="AB280" s="86"/>
    </row>
    <row r="281" spans="20:28">
      <c r="T281" s="67">
        <f t="shared" si="154"/>
        <v>0</v>
      </c>
      <c r="Z281" s="98"/>
      <c r="AA281" s="103">
        <f t="shared" si="155"/>
        <v>0</v>
      </c>
      <c r="AB281" s="86"/>
    </row>
    <row r="282" spans="20:28">
      <c r="T282" s="67">
        <f t="shared" si="154"/>
        <v>0</v>
      </c>
      <c r="Z282" s="98"/>
      <c r="AA282" s="103">
        <f t="shared" si="155"/>
        <v>0</v>
      </c>
      <c r="AB282" s="86"/>
    </row>
    <row r="283" spans="20:28">
      <c r="T283" s="67">
        <f t="shared" si="154"/>
        <v>0</v>
      </c>
      <c r="Z283" s="98"/>
      <c r="AA283" s="103">
        <f t="shared" si="155"/>
        <v>0</v>
      </c>
      <c r="AB283" s="86"/>
    </row>
    <row r="284" spans="20:28">
      <c r="T284" s="67">
        <f t="shared" si="154"/>
        <v>0</v>
      </c>
      <c r="Z284" s="98"/>
      <c r="AA284" s="103">
        <f t="shared" si="155"/>
        <v>0</v>
      </c>
      <c r="AB284" s="86"/>
    </row>
    <row r="285" spans="20:28">
      <c r="T285" s="67">
        <f t="shared" si="154"/>
        <v>0</v>
      </c>
      <c r="Z285" s="98"/>
      <c r="AA285" s="103">
        <f t="shared" si="155"/>
        <v>0</v>
      </c>
      <c r="AB285" s="86"/>
    </row>
    <row r="286" spans="20:28">
      <c r="T286" s="67">
        <f t="shared" si="154"/>
        <v>0</v>
      </c>
      <c r="Z286" s="98"/>
      <c r="AA286" s="103">
        <f t="shared" si="155"/>
        <v>0</v>
      </c>
      <c r="AB286" s="86"/>
    </row>
    <row r="287" spans="20:28">
      <c r="T287" s="67">
        <f t="shared" si="154"/>
        <v>0</v>
      </c>
      <c r="Z287" s="98"/>
      <c r="AA287" s="103">
        <f t="shared" si="155"/>
        <v>0</v>
      </c>
      <c r="AB287" s="86"/>
    </row>
    <row r="288" spans="20:28">
      <c r="T288" s="67">
        <f t="shared" si="154"/>
        <v>0</v>
      </c>
      <c r="Z288" s="98"/>
      <c r="AA288" s="103">
        <f t="shared" si="155"/>
        <v>0</v>
      </c>
      <c r="AB288" s="86"/>
    </row>
    <row r="289" spans="20:28">
      <c r="T289" s="67">
        <f t="shared" si="154"/>
        <v>0</v>
      </c>
      <c r="Z289" s="98"/>
      <c r="AA289" s="103">
        <f t="shared" si="155"/>
        <v>0</v>
      </c>
      <c r="AB289" s="86"/>
    </row>
    <row r="290" spans="20:28">
      <c r="T290" s="67">
        <f t="shared" si="154"/>
        <v>0</v>
      </c>
      <c r="Z290" s="98"/>
      <c r="AA290" s="103">
        <f t="shared" si="155"/>
        <v>0</v>
      </c>
      <c r="AB290" s="86"/>
    </row>
    <row r="291" spans="20:28">
      <c r="T291" s="67">
        <f t="shared" si="154"/>
        <v>0</v>
      </c>
      <c r="Z291" s="98"/>
      <c r="AA291" s="103">
        <f t="shared" si="155"/>
        <v>0</v>
      </c>
      <c r="AB291" s="86"/>
    </row>
    <row r="292" spans="20:28">
      <c r="T292" s="67">
        <f t="shared" si="154"/>
        <v>0</v>
      </c>
      <c r="Z292" s="98"/>
      <c r="AA292" s="103">
        <f t="shared" si="155"/>
        <v>0</v>
      </c>
      <c r="AB292" s="86"/>
    </row>
    <row r="293" spans="20:28">
      <c r="T293" s="67">
        <f t="shared" si="154"/>
        <v>0</v>
      </c>
      <c r="Z293" s="98"/>
      <c r="AA293" s="103">
        <f t="shared" si="155"/>
        <v>0</v>
      </c>
      <c r="AB293" s="86"/>
    </row>
    <row r="294" spans="20:28">
      <c r="T294" s="67">
        <f t="shared" si="154"/>
        <v>0</v>
      </c>
      <c r="Z294" s="98"/>
      <c r="AA294" s="103">
        <f t="shared" si="155"/>
        <v>0</v>
      </c>
      <c r="AB294" s="86"/>
    </row>
    <row r="295" spans="20:28">
      <c r="T295" s="67">
        <f t="shared" si="154"/>
        <v>0</v>
      </c>
      <c r="Z295" s="98"/>
      <c r="AA295" s="103">
        <f t="shared" si="155"/>
        <v>0</v>
      </c>
      <c r="AB295" s="86"/>
    </row>
    <row r="296" spans="20:28">
      <c r="T296" s="67">
        <f t="shared" si="154"/>
        <v>0</v>
      </c>
      <c r="Z296" s="98"/>
      <c r="AA296" s="103">
        <f t="shared" si="155"/>
        <v>0</v>
      </c>
      <c r="AB296" s="86"/>
    </row>
    <row r="297" spans="20:28">
      <c r="T297" s="67">
        <f t="shared" si="154"/>
        <v>0</v>
      </c>
      <c r="Z297" s="98"/>
      <c r="AA297" s="103">
        <f t="shared" si="155"/>
        <v>0</v>
      </c>
      <c r="AB297" s="86"/>
    </row>
    <row r="298" spans="20:28">
      <c r="T298" s="67">
        <f t="shared" si="154"/>
        <v>0</v>
      </c>
      <c r="Z298" s="98"/>
      <c r="AA298" s="103">
        <f t="shared" ref="AA298:AA329" si="156">Q298*E298</f>
        <v>0</v>
      </c>
      <c r="AB298" s="86"/>
    </row>
    <row r="299" spans="20:28">
      <c r="T299" s="67">
        <f t="shared" si="154"/>
        <v>0</v>
      </c>
      <c r="Z299" s="98"/>
      <c r="AA299" s="103">
        <f t="shared" si="156"/>
        <v>0</v>
      </c>
      <c r="AB299" s="86"/>
    </row>
    <row r="300" spans="20:28">
      <c r="T300" s="67">
        <f t="shared" si="154"/>
        <v>0</v>
      </c>
      <c r="Z300" s="98"/>
      <c r="AA300" s="103">
        <f t="shared" si="156"/>
        <v>0</v>
      </c>
      <c r="AB300" s="86"/>
    </row>
    <row r="301" spans="20:28">
      <c r="T301" s="67">
        <f t="shared" si="154"/>
        <v>0</v>
      </c>
      <c r="Z301" s="98"/>
      <c r="AA301" s="103">
        <f t="shared" si="156"/>
        <v>0</v>
      </c>
      <c r="AB301" s="86"/>
    </row>
    <row r="302" spans="20:28">
      <c r="T302" s="67">
        <f t="shared" si="154"/>
        <v>0</v>
      </c>
      <c r="Z302" s="98"/>
      <c r="AA302" s="103">
        <f t="shared" si="156"/>
        <v>0</v>
      </c>
      <c r="AB302" s="86"/>
    </row>
    <row r="303" spans="20:28">
      <c r="T303" s="67">
        <f t="shared" si="154"/>
        <v>0</v>
      </c>
      <c r="Z303" s="98"/>
      <c r="AA303" s="103">
        <f t="shared" si="156"/>
        <v>0</v>
      </c>
      <c r="AB303" s="86"/>
    </row>
    <row r="304" spans="20:28">
      <c r="T304" s="67">
        <f t="shared" ref="T304:T305" si="157">SUM(J304:R304)</f>
        <v>0</v>
      </c>
      <c r="Z304" s="98"/>
      <c r="AA304" s="103">
        <f t="shared" si="156"/>
        <v>0</v>
      </c>
      <c r="AB304" s="86"/>
    </row>
    <row r="305" spans="20:28">
      <c r="T305" s="67">
        <f t="shared" si="157"/>
        <v>0</v>
      </c>
      <c r="Z305" s="98"/>
      <c r="AA305" s="103">
        <f t="shared" si="156"/>
        <v>0</v>
      </c>
      <c r="AB305" s="86"/>
    </row>
    <row r="306" spans="20:28">
      <c r="Z306" s="98"/>
      <c r="AA306" s="103">
        <f t="shared" si="156"/>
        <v>0</v>
      </c>
      <c r="AB306" s="86"/>
    </row>
    <row r="307" spans="20:28">
      <c r="Z307" s="98"/>
      <c r="AA307" s="103">
        <f t="shared" si="156"/>
        <v>0</v>
      </c>
      <c r="AB307" s="86"/>
    </row>
    <row r="308" spans="20:28">
      <c r="Z308" s="98"/>
      <c r="AA308" s="103">
        <f t="shared" si="156"/>
        <v>0</v>
      </c>
      <c r="AB308" s="86"/>
    </row>
    <row r="309" spans="20:28">
      <c r="Z309" s="98"/>
      <c r="AA309" s="103">
        <f t="shared" si="156"/>
        <v>0</v>
      </c>
      <c r="AB309" s="86"/>
    </row>
    <row r="310" spans="20:28">
      <c r="Z310" s="98"/>
      <c r="AA310" s="103">
        <f t="shared" si="156"/>
        <v>0</v>
      </c>
      <c r="AB310" s="86"/>
    </row>
    <row r="311" spans="20:28">
      <c r="Z311" s="98"/>
      <c r="AA311" s="103">
        <f t="shared" si="156"/>
        <v>0</v>
      </c>
      <c r="AB311" s="86"/>
    </row>
    <row r="312" spans="20:28">
      <c r="Z312" s="98"/>
      <c r="AA312" s="103">
        <f t="shared" si="156"/>
        <v>0</v>
      </c>
      <c r="AB312" s="86"/>
    </row>
    <row r="313" spans="20:28">
      <c r="Z313" s="98"/>
      <c r="AA313" s="103">
        <f t="shared" si="156"/>
        <v>0</v>
      </c>
      <c r="AB313" s="86"/>
    </row>
    <row r="314" spans="20:28">
      <c r="Z314" s="98"/>
      <c r="AA314" s="103">
        <f t="shared" si="156"/>
        <v>0</v>
      </c>
      <c r="AB314" s="86"/>
    </row>
    <row r="315" spans="20:28">
      <c r="Z315" s="98"/>
      <c r="AA315" s="103">
        <f t="shared" si="156"/>
        <v>0</v>
      </c>
      <c r="AB315" s="86"/>
    </row>
    <row r="316" spans="20:28">
      <c r="Z316" s="98"/>
      <c r="AA316" s="103">
        <f t="shared" si="156"/>
        <v>0</v>
      </c>
      <c r="AB316" s="86"/>
    </row>
    <row r="317" spans="20:28">
      <c r="Z317" s="98"/>
      <c r="AA317" s="103">
        <f t="shared" si="156"/>
        <v>0</v>
      </c>
      <c r="AB317" s="86"/>
    </row>
    <row r="318" spans="20:28">
      <c r="Z318" s="98"/>
      <c r="AA318" s="103">
        <f t="shared" si="156"/>
        <v>0</v>
      </c>
      <c r="AB318" s="86"/>
    </row>
    <row r="319" spans="20:28">
      <c r="Z319" s="98"/>
      <c r="AA319" s="103">
        <f t="shared" si="156"/>
        <v>0</v>
      </c>
      <c r="AB319" s="86"/>
    </row>
    <row r="320" spans="20:28">
      <c r="Z320" s="98"/>
      <c r="AA320" s="103">
        <f t="shared" si="156"/>
        <v>0</v>
      </c>
      <c r="AB320" s="86"/>
    </row>
    <row r="321" spans="26:28">
      <c r="Z321" s="98"/>
      <c r="AA321" s="103">
        <f t="shared" si="156"/>
        <v>0</v>
      </c>
      <c r="AB321" s="86"/>
    </row>
    <row r="322" spans="26:28">
      <c r="Z322" s="98"/>
      <c r="AA322" s="103">
        <f t="shared" si="156"/>
        <v>0</v>
      </c>
      <c r="AB322" s="86"/>
    </row>
    <row r="323" spans="26:28">
      <c r="Z323" s="98"/>
      <c r="AA323" s="103">
        <f t="shared" si="156"/>
        <v>0</v>
      </c>
      <c r="AB323" s="86"/>
    </row>
    <row r="324" spans="26:28">
      <c r="Z324" s="98"/>
      <c r="AA324" s="103">
        <f t="shared" si="156"/>
        <v>0</v>
      </c>
      <c r="AB324" s="86"/>
    </row>
    <row r="325" spans="26:28">
      <c r="Z325" s="98"/>
      <c r="AA325" s="103">
        <f t="shared" si="156"/>
        <v>0</v>
      </c>
      <c r="AB325" s="86"/>
    </row>
    <row r="326" spans="26:28">
      <c r="Z326" s="98"/>
      <c r="AA326" s="103">
        <f t="shared" si="156"/>
        <v>0</v>
      </c>
      <c r="AB326" s="86"/>
    </row>
    <row r="327" spans="26:28">
      <c r="Z327" s="98"/>
      <c r="AA327" s="103">
        <f t="shared" si="156"/>
        <v>0</v>
      </c>
      <c r="AB327" s="86"/>
    </row>
    <row r="328" spans="26:28">
      <c r="Z328" s="98"/>
      <c r="AA328" s="103">
        <f t="shared" si="156"/>
        <v>0</v>
      </c>
      <c r="AB328" s="86"/>
    </row>
    <row r="329" spans="26:28">
      <c r="Z329" s="98"/>
      <c r="AA329" s="103">
        <f t="shared" si="156"/>
        <v>0</v>
      </c>
      <c r="AB329" s="86"/>
    </row>
    <row r="330" spans="26:28">
      <c r="Z330" s="98"/>
      <c r="AA330" s="103">
        <f t="shared" ref="AA330:AA361" si="158">Q330*E330</f>
        <v>0</v>
      </c>
      <c r="AB330" s="86"/>
    </row>
    <row r="331" spans="26:28">
      <c r="Z331" s="98"/>
      <c r="AA331" s="103">
        <f t="shared" si="158"/>
        <v>0</v>
      </c>
      <c r="AB331" s="86"/>
    </row>
    <row r="332" spans="26:28">
      <c r="Z332" s="98"/>
      <c r="AA332" s="103">
        <f t="shared" si="158"/>
        <v>0</v>
      </c>
      <c r="AB332" s="86"/>
    </row>
    <row r="333" spans="26:28">
      <c r="Z333" s="98"/>
      <c r="AA333" s="103">
        <f t="shared" si="158"/>
        <v>0</v>
      </c>
      <c r="AB333" s="86"/>
    </row>
    <row r="334" spans="26:28">
      <c r="Z334" s="98"/>
      <c r="AA334" s="103">
        <f t="shared" si="158"/>
        <v>0</v>
      </c>
      <c r="AB334" s="86"/>
    </row>
    <row r="335" spans="26:28">
      <c r="Z335" s="98"/>
      <c r="AA335" s="103">
        <f t="shared" si="158"/>
        <v>0</v>
      </c>
      <c r="AB335" s="86"/>
    </row>
    <row r="336" spans="26:28">
      <c r="Z336" s="98"/>
      <c r="AA336" s="103">
        <f t="shared" si="158"/>
        <v>0</v>
      </c>
      <c r="AB336" s="86"/>
    </row>
    <row r="337" spans="26:28">
      <c r="Z337" s="98"/>
      <c r="AA337" s="103">
        <f t="shared" si="158"/>
        <v>0</v>
      </c>
      <c r="AB337" s="86"/>
    </row>
    <row r="338" spans="26:28">
      <c r="Z338" s="98"/>
      <c r="AA338" s="103">
        <f t="shared" si="158"/>
        <v>0</v>
      </c>
      <c r="AB338" s="86"/>
    </row>
    <row r="339" spans="26:28">
      <c r="Z339" s="98"/>
      <c r="AA339" s="103">
        <f t="shared" si="158"/>
        <v>0</v>
      </c>
      <c r="AB339" s="86"/>
    </row>
    <row r="340" spans="26:28">
      <c r="Z340" s="98"/>
      <c r="AA340" s="103">
        <f t="shared" si="158"/>
        <v>0</v>
      </c>
      <c r="AB340" s="86"/>
    </row>
    <row r="341" spans="26:28">
      <c r="Z341" s="98"/>
      <c r="AA341" s="103">
        <f t="shared" si="158"/>
        <v>0</v>
      </c>
      <c r="AB341" s="86"/>
    </row>
    <row r="342" spans="26:28">
      <c r="Z342" s="98"/>
      <c r="AA342" s="103">
        <f t="shared" si="158"/>
        <v>0</v>
      </c>
      <c r="AB342" s="86"/>
    </row>
    <row r="343" spans="26:28">
      <c r="Z343" s="98"/>
      <c r="AA343" s="103">
        <f t="shared" si="158"/>
        <v>0</v>
      </c>
      <c r="AB343" s="86"/>
    </row>
    <row r="344" spans="26:28">
      <c r="Z344" s="98"/>
      <c r="AA344" s="103">
        <f t="shared" si="158"/>
        <v>0</v>
      </c>
      <c r="AB344" s="86"/>
    </row>
    <row r="345" spans="26:28">
      <c r="Z345" s="98"/>
      <c r="AA345" s="103">
        <f t="shared" si="158"/>
        <v>0</v>
      </c>
      <c r="AB345" s="86"/>
    </row>
    <row r="346" spans="26:28">
      <c r="Z346" s="98"/>
      <c r="AA346" s="103">
        <f t="shared" si="158"/>
        <v>0</v>
      </c>
      <c r="AB346" s="86"/>
    </row>
    <row r="347" spans="26:28">
      <c r="Z347" s="98"/>
      <c r="AA347" s="103">
        <f t="shared" si="158"/>
        <v>0</v>
      </c>
      <c r="AB347" s="86"/>
    </row>
    <row r="348" spans="26:28">
      <c r="Z348" s="98"/>
      <c r="AA348" s="103">
        <f t="shared" si="158"/>
        <v>0</v>
      </c>
      <c r="AB348" s="86"/>
    </row>
    <row r="349" spans="26:28">
      <c r="Z349" s="98"/>
      <c r="AA349" s="103">
        <f t="shared" si="158"/>
        <v>0</v>
      </c>
      <c r="AB349" s="86"/>
    </row>
    <row r="350" spans="26:28">
      <c r="Z350" s="98"/>
      <c r="AA350" s="103">
        <f t="shared" si="158"/>
        <v>0</v>
      </c>
      <c r="AB350" s="86"/>
    </row>
    <row r="351" spans="26:28">
      <c r="Z351" s="98"/>
      <c r="AA351" s="103">
        <f t="shared" si="158"/>
        <v>0</v>
      </c>
      <c r="AB351" s="86"/>
    </row>
    <row r="352" spans="26:28">
      <c r="Z352" s="98"/>
      <c r="AA352" s="103">
        <f t="shared" si="158"/>
        <v>0</v>
      </c>
      <c r="AB352" s="86"/>
    </row>
    <row r="353" spans="26:28">
      <c r="Z353" s="98"/>
      <c r="AA353" s="103">
        <f t="shared" si="158"/>
        <v>0</v>
      </c>
      <c r="AB353" s="86"/>
    </row>
    <row r="354" spans="26:28">
      <c r="Z354" s="98"/>
      <c r="AA354" s="103">
        <f t="shared" si="158"/>
        <v>0</v>
      </c>
      <c r="AB354" s="86"/>
    </row>
    <row r="355" spans="26:28">
      <c r="Z355" s="98"/>
      <c r="AA355" s="103">
        <f t="shared" si="158"/>
        <v>0</v>
      </c>
      <c r="AB355" s="86"/>
    </row>
    <row r="356" spans="26:28">
      <c r="Z356" s="98"/>
      <c r="AA356" s="103">
        <f t="shared" si="158"/>
        <v>0</v>
      </c>
      <c r="AB356" s="86"/>
    </row>
    <row r="357" spans="26:28">
      <c r="Z357" s="98"/>
      <c r="AA357" s="103">
        <f t="shared" si="158"/>
        <v>0</v>
      </c>
      <c r="AB357" s="86"/>
    </row>
    <row r="358" spans="26:28">
      <c r="Z358" s="98"/>
      <c r="AA358" s="103">
        <f t="shared" si="158"/>
        <v>0</v>
      </c>
      <c r="AB358" s="86"/>
    </row>
    <row r="359" spans="26:28">
      <c r="Z359" s="98"/>
      <c r="AA359" s="103">
        <f t="shared" si="158"/>
        <v>0</v>
      </c>
      <c r="AB359" s="86"/>
    </row>
    <row r="360" spans="26:28">
      <c r="Z360" s="98"/>
      <c r="AA360" s="103">
        <f t="shared" si="158"/>
        <v>0</v>
      </c>
      <c r="AB360" s="86"/>
    </row>
    <row r="361" spans="26:28">
      <c r="Z361" s="98"/>
      <c r="AA361" s="103">
        <f t="shared" si="158"/>
        <v>0</v>
      </c>
      <c r="AB361" s="86"/>
    </row>
    <row r="362" spans="26:28">
      <c r="AA362" s="103">
        <f t="shared" ref="AA362:AA379" si="159">Q362*E362</f>
        <v>0</v>
      </c>
      <c r="AB362" s="100"/>
    </row>
    <row r="363" spans="26:28">
      <c r="AA363" s="103">
        <f t="shared" si="159"/>
        <v>0</v>
      </c>
      <c r="AB363" s="100"/>
    </row>
    <row r="364" spans="26:28">
      <c r="AA364" s="103">
        <f t="shared" si="159"/>
        <v>0</v>
      </c>
      <c r="AB364" s="100"/>
    </row>
    <row r="365" spans="26:28">
      <c r="AA365" s="103">
        <f t="shared" si="159"/>
        <v>0</v>
      </c>
      <c r="AB365" s="100"/>
    </row>
    <row r="366" spans="26:28">
      <c r="AA366" s="103">
        <f t="shared" si="159"/>
        <v>0</v>
      </c>
      <c r="AB366" s="100"/>
    </row>
    <row r="367" spans="26:28">
      <c r="AA367" s="103">
        <f t="shared" si="159"/>
        <v>0</v>
      </c>
      <c r="AB367" s="100"/>
    </row>
    <row r="368" spans="26:28">
      <c r="AA368" s="103">
        <f t="shared" si="159"/>
        <v>0</v>
      </c>
      <c r="AB368" s="100"/>
    </row>
    <row r="369" spans="27:28">
      <c r="AA369" s="103">
        <f t="shared" si="159"/>
        <v>0</v>
      </c>
      <c r="AB369" s="100"/>
    </row>
    <row r="370" spans="27:28">
      <c r="AA370" s="103">
        <f t="shared" si="159"/>
        <v>0</v>
      </c>
      <c r="AB370" s="100"/>
    </row>
    <row r="371" spans="27:28">
      <c r="AA371" s="103">
        <f t="shared" si="159"/>
        <v>0</v>
      </c>
      <c r="AB371" s="100"/>
    </row>
    <row r="372" spans="27:28">
      <c r="AA372" s="103">
        <f t="shared" si="159"/>
        <v>0</v>
      </c>
      <c r="AB372" s="100"/>
    </row>
    <row r="373" spans="27:28">
      <c r="AA373" s="103">
        <f t="shared" si="159"/>
        <v>0</v>
      </c>
      <c r="AB373" s="100"/>
    </row>
    <row r="374" spans="27:28">
      <c r="AA374" s="103">
        <f t="shared" si="159"/>
        <v>0</v>
      </c>
      <c r="AB374" s="100"/>
    </row>
    <row r="375" spans="27:28">
      <c r="AA375" s="103">
        <f t="shared" si="159"/>
        <v>0</v>
      </c>
      <c r="AB375" s="100"/>
    </row>
    <row r="376" spans="27:28">
      <c r="AA376" s="103">
        <f t="shared" si="159"/>
        <v>0</v>
      </c>
      <c r="AB376" s="100"/>
    </row>
    <row r="377" spans="27:28">
      <c r="AA377" s="103">
        <f t="shared" si="159"/>
        <v>0</v>
      </c>
      <c r="AB377" s="100"/>
    </row>
    <row r="378" spans="27:28">
      <c r="AA378" s="103">
        <f t="shared" si="159"/>
        <v>0</v>
      </c>
      <c r="AB378" s="100"/>
    </row>
    <row r="379" spans="27:28">
      <c r="AA379" s="103">
        <f t="shared" si="159"/>
        <v>0</v>
      </c>
      <c r="AB379" s="100"/>
    </row>
    <row r="380" spans="27:28">
      <c r="AB380" s="100"/>
    </row>
    <row r="381" spans="27:28">
      <c r="AB381" s="100"/>
    </row>
    <row r="382" spans="27:28">
      <c r="AB382" s="100"/>
    </row>
    <row r="383" spans="27:28">
      <c r="AB383" s="100"/>
    </row>
    <row r="384" spans="27:28">
      <c r="AB384" s="100"/>
    </row>
    <row r="385" spans="28:28">
      <c r="AB385" s="100"/>
    </row>
    <row r="386" spans="28:28">
      <c r="AB386" s="100"/>
    </row>
    <row r="387" spans="28:28">
      <c r="AB387" s="100"/>
    </row>
    <row r="388" spans="28:28">
      <c r="AB388" s="100"/>
    </row>
    <row r="389" spans="28:28">
      <c r="AB389" s="100"/>
    </row>
    <row r="390" spans="28:28">
      <c r="AB390" s="100"/>
    </row>
    <row r="391" spans="28:28">
      <c r="AB391" s="100"/>
    </row>
    <row r="392" spans="28:28">
      <c r="AB392" s="100"/>
    </row>
    <row r="393" spans="28:28">
      <c r="AB393" s="100"/>
    </row>
    <row r="394" spans="28:28">
      <c r="AB394" s="100"/>
    </row>
    <row r="395" spans="28:28">
      <c r="AB395" s="100"/>
    </row>
    <row r="396" spans="28:28">
      <c r="AB396" s="100"/>
    </row>
    <row r="397" spans="28:28">
      <c r="AB397" s="100"/>
    </row>
    <row r="398" spans="28:28">
      <c r="AB398" s="100"/>
    </row>
    <row r="399" spans="28:28">
      <c r="AB399" s="100"/>
    </row>
    <row r="400" spans="28:28">
      <c r="AB400" s="100"/>
    </row>
    <row r="401" spans="28:28">
      <c r="AB401" s="100"/>
    </row>
    <row r="402" spans="28:28">
      <c r="AB402" s="100"/>
    </row>
    <row r="403" spans="28:28">
      <c r="AB403" s="100"/>
    </row>
    <row r="404" spans="28:28">
      <c r="AB404" s="100"/>
    </row>
    <row r="405" spans="28:28">
      <c r="AB405" s="100"/>
    </row>
    <row r="406" spans="28:28">
      <c r="AB406" s="100"/>
    </row>
    <row r="407" spans="28:28">
      <c r="AB407" s="100"/>
    </row>
    <row r="408" spans="28:28">
      <c r="AB408" s="100"/>
    </row>
    <row r="409" spans="28:28">
      <c r="AB409" s="100"/>
    </row>
    <row r="410" spans="28:28">
      <c r="AB410" s="100"/>
    </row>
    <row r="411" spans="28:28">
      <c r="AB411" s="100"/>
    </row>
    <row r="412" spans="28:28">
      <c r="AB412" s="100"/>
    </row>
    <row r="413" spans="28:28">
      <c r="AB413" s="100"/>
    </row>
    <row r="414" spans="28:28">
      <c r="AB414" s="100"/>
    </row>
    <row r="415" spans="28:28">
      <c r="AB415" s="100"/>
    </row>
    <row r="416" spans="28:28">
      <c r="AB416" s="100"/>
    </row>
    <row r="417" spans="28:28">
      <c r="AB417" s="100"/>
    </row>
  </sheetData>
  <autoFilter ref="A25:AB239"/>
  <mergeCells count="31">
    <mergeCell ref="A6:E6"/>
    <mergeCell ref="A7:E7"/>
    <mergeCell ref="AA8:AB8"/>
    <mergeCell ref="X5:Z5"/>
    <mergeCell ref="H7:Z7"/>
    <mergeCell ref="AA5:AB5"/>
    <mergeCell ref="AA6:AB6"/>
    <mergeCell ref="AA7:AB7"/>
    <mergeCell ref="H6:Z6"/>
    <mergeCell ref="X2:Z2"/>
    <mergeCell ref="X3:Z3"/>
    <mergeCell ref="AA2:AB2"/>
    <mergeCell ref="AA3:AB3"/>
    <mergeCell ref="AA4:AB4"/>
    <mergeCell ref="X4:Z4"/>
    <mergeCell ref="A233:D233"/>
    <mergeCell ref="A5:E5"/>
    <mergeCell ref="A4:E4"/>
    <mergeCell ref="A3:E3"/>
    <mergeCell ref="A2:E2"/>
    <mergeCell ref="A9:I11"/>
    <mergeCell ref="A12:I12"/>
    <mergeCell ref="A13:I13"/>
    <mergeCell ref="A14:I14"/>
    <mergeCell ref="A22:I22"/>
    <mergeCell ref="A8:Z8"/>
    <mergeCell ref="C24:H24"/>
    <mergeCell ref="B24:B25"/>
    <mergeCell ref="A24:A25"/>
    <mergeCell ref="Z24:AB24"/>
    <mergeCell ref="W24:Y24"/>
  </mergeCells>
  <hyperlinks>
    <hyperlink ref="I56" r:id="rId1" display="http://187.17.2.135/orse/composicao.asp?font_sg_fonte=SINAPI&amp;serv_nr_codigo=95956&amp;peri_nr_ano=2018&amp;peri_nr_mes=9&amp;peri_nr_ordem=1"/>
    <hyperlink ref="I63" r:id="rId2" display="http://187.17.2.135/orse/composicao.asp?font_sg_fonte=SINAPI&amp;serv_nr_codigo=742021&amp;peri_nr_ano=2018&amp;peri_nr_mes=9&amp;peri_nr_ordem=1"/>
    <hyperlink ref="I68" r:id="rId3" display="http://187.17.2.135/orse/composicao.asp?font_sg_fonte=ORSE&amp;serv_nr_codigo=154&amp;peri_nr_ano=2018&amp;peri_nr_mes=9&amp;peri_nr_ordem=1"/>
    <hyperlink ref="I70" r:id="rId4" display="http://187.17.2.135/orse/composicao.asp?font_sg_fonte=SINAPI&amp;serv_nr_codigo=739373&amp;peri_nr_ano=2018&amp;peri_nr_mes=9&amp;peri_nr_ordem=1"/>
    <hyperlink ref="I69" r:id="rId5" display="http://187.17.2.135/orse/composicao.asp?font_sg_fonte=SINAPI&amp;serv_nr_codigo=739371&amp;peri_nr_ano=2018&amp;peri_nr_mes=9&amp;peri_nr_ordem=1"/>
    <hyperlink ref="I77" r:id="rId6" display="http://187.17.2.135/orse/composicao.asp?font_sg_fonte=SINAPI&amp;serv_nr_codigo=90844&amp;peri_nr_ano=2018&amp;peri_nr_mes=9&amp;peri_nr_ordem=1"/>
    <hyperlink ref="I79" r:id="rId7" display="http://187.17.2.135/orse/composicao.asp?font_sg_fonte=SINAPI&amp;serv_nr_codigo=91328&amp;peri_nr_ano=2018&amp;peri_nr_mes=9&amp;peri_nr_ordem=1"/>
    <hyperlink ref="I78" r:id="rId8" display="http://187.17.2.135/orse/composicao.asp?font_sg_fonte=SINAPI&amp;serv_nr_codigo=91332&amp;peri_nr_ano=2018&amp;peri_nr_mes=9&amp;peri_nr_ordem=1"/>
    <hyperlink ref="I80" r:id="rId9" display="http://187.17.2.135/orse/composicao.asp?font_sg_fonte=SINAPI&amp;serv_nr_codigo=91333&amp;peri_nr_ano=2018&amp;peri_nr_mes=9&amp;peri_nr_ordem=1"/>
    <hyperlink ref="I83" r:id="rId10" display="http://187.17.2.135/orse/composicao.asp?font_sg_fonte=SINAPI&amp;serv_nr_codigo=87893&amp;peri_nr_ano=2018&amp;peri_nr_mes=9&amp;peri_nr_ordem=1"/>
    <hyperlink ref="I84" r:id="rId11" display="http://187.17.2.135/orse/composicao.asp?font_sg_fonte=SINAPI&amp;serv_nr_codigo=89173&amp;peri_nr_ano=2018&amp;peri_nr_mes=9&amp;peri_nr_ordem=1"/>
    <hyperlink ref="I85" r:id="rId12" display="http://187.17.2.135/orse/composicao.asp?font_sg_fonte=ORSE&amp;serv_nr_codigo=3315&amp;peri_nr_ano=2018&amp;peri_nr_mes=9&amp;peri_nr_ordem=1"/>
    <hyperlink ref="I87" r:id="rId13" display="http://187.17.2.135/orse/composicao.asp?font_sg_fonte=ORSE&amp;serv_nr_codigo=11366&amp;peri_nr_ano=2018&amp;peri_nr_mes=9&amp;peri_nr_ordem=1"/>
    <hyperlink ref="I86" r:id="rId14" display="http://187.17.2.135/orse/composicao.asp?font_sg_fonte=SINAPI&amp;serv_nr_codigo=89045&amp;peri_nr_ano=2018&amp;peri_nr_mes=9&amp;peri_nr_ordem=1"/>
    <hyperlink ref="I90" r:id="rId15" display="http://187.17.2.135/orse/composicao.asp?font_sg_fonte=ORSE&amp;serv_nr_codigo=9962&amp;peri_nr_ano=2018&amp;peri_nr_mes=9&amp;peri_nr_ordem=1"/>
    <hyperlink ref="I93" r:id="rId16" display="http://187.17.2.135/orse/composicao.asp?font_sg_fonte=ORSE&amp;serv_nr_codigo=7681&amp;peri_nr_ano=2018&amp;peri_nr_mes=9&amp;peri_nr_ordem=1"/>
    <hyperlink ref="I94" r:id="rId17" display="http://187.17.2.135/orse/composicao.asp?font_sg_fonte=ORSE&amp;serv_nr_codigo=10169&amp;peri_nr_ano=2018&amp;peri_nr_mes=9&amp;peri_nr_ordem=1"/>
    <hyperlink ref="I97" r:id="rId18" display="http://187.17.2.135/orse/composicao.asp?font_sg_fonte=SINAPI&amp;serv_nr_codigo=88483&amp;peri_nr_ano=2018&amp;peri_nr_mes=9&amp;peri_nr_ordem=1"/>
    <hyperlink ref="I98" r:id="rId19" display="http://187.17.2.135/orse/composicao.asp?font_sg_fonte=SINAPI&amp;serv_nr_codigo=41595&amp;peri_nr_ano=2018&amp;peri_nr_mes=9&amp;peri_nr_ordem=1"/>
    <hyperlink ref="I99" r:id="rId20" display="http://187.17.2.135/orse/composicao.asp?font_sg_fonte=ORSE&amp;serv_nr_codigo=8624&amp;peri_nr_ano=2018&amp;peri_nr_mes=9&amp;peri_nr_ordem=1"/>
    <hyperlink ref="I100" r:id="rId21" display="http://187.17.2.135/orse/composicao.asp?font_sg_fonte=ORSE&amp;serv_nr_codigo=7695&amp;peri_nr_ano=2018&amp;peri_nr_mes=9&amp;peri_nr_ordem=1"/>
    <hyperlink ref="I101" r:id="rId22" display="http://187.17.2.135/orse/composicao.asp?font_sg_fonte=ORSE&amp;serv_nr_codigo=2339&amp;peri_nr_ano=2018&amp;peri_nr_mes=9&amp;peri_nr_ordem=1"/>
    <hyperlink ref="I102" r:id="rId23" display="http://187.17.2.135/orse/composicao.asp?font_sg_fonte=ORSE&amp;serv_nr_codigo=2339&amp;peri_nr_ano=2018&amp;peri_nr_mes=9&amp;peri_nr_ordem=1"/>
    <hyperlink ref="I103" r:id="rId24" display="http://187.17.2.135/orse/composicao.asp?font_sg_fonte=SINAPI&amp;serv_nr_codigo=72815&amp;peri_nr_ano=2018&amp;peri_nr_mes=9&amp;peri_nr_ordem=1"/>
    <hyperlink ref="I104" r:id="rId25" display="http://187.17.2.135/orse/composicao.asp?font_sg_fonte=ORSE&amp;serv_nr_codigo=2291&amp;peri_nr_ano=2018&amp;peri_nr_mes=9&amp;peri_nr_ordem=1"/>
    <hyperlink ref="I113" r:id="rId26" display="http://187.17.2.135/orse/composicao.asp?font_sg_fonte=ORSE&amp;serv_nr_codigo=1430&amp;peri_nr_ano=2018&amp;peri_nr_mes=9&amp;peri_nr_ordem=1"/>
    <hyperlink ref="I114" r:id="rId27" display="http://187.17.2.135/orse/composicao.asp?font_sg_fonte=SINAPI&amp;serv_nr_codigo=86884&amp;peri_nr_ano=2018&amp;peri_nr_mes=9&amp;peri_nr_ordem=1"/>
    <hyperlink ref="I115" r:id="rId28" display="http://187.17.2.135/orse/composicao.asp?font_sg_fonte=ORSE&amp;serv_nr_codigo=9963&amp;peri_nr_ano=2018&amp;peri_nr_mes=9&amp;peri_nr_ordem=1"/>
    <hyperlink ref="I137" r:id="rId29" display="http://187.17.2.135/orse/composicao.asp?font_sg_fonte=SINAPI&amp;serv_nr_codigo=86915&amp;peri_nr_ano=2018&amp;peri_nr_mes=9&amp;peri_nr_ordem=1"/>
    <hyperlink ref="I138" r:id="rId30" display="http://187.17.2.135/orse/composicao.asp?font_sg_fonte=ORSE&amp;serv_nr_codigo=4281&amp;peri_nr_ano=2018&amp;peri_nr_mes=9&amp;peri_nr_ordem=1"/>
    <hyperlink ref="I147" r:id="rId31" display="http://187.17.2.135/orse/composicao.asp?font_sg_fonte=ORSE&amp;serv_nr_codigo=2060&amp;peri_nr_ano=2018&amp;peri_nr_mes=9&amp;peri_nr_ordem=1"/>
    <hyperlink ref="I153" r:id="rId32" display="http://187.17.2.135/orse/composicao.asp?font_sg_fonte=ORSE&amp;serv_nr_codigo=4282&amp;peri_nr_ano=2018&amp;peri_nr_mes=9&amp;peri_nr_ordem=1"/>
    <hyperlink ref="I163" r:id="rId33" display="http://187.17.2.135/orse/composicao.asp?font_sg_fonte=SINAPI&amp;serv_nr_codigo=86882&amp;peri_nr_ano=2018&amp;peri_nr_mes=9&amp;peri_nr_ordem=1"/>
    <hyperlink ref="I173" r:id="rId34" display="http://187.17.2.135/orse/composicao.asp?font_sg_fonte=ORSE&amp;serv_nr_codigo=9965&amp;peri_nr_ano=2018&amp;peri_nr_mes=9&amp;peri_nr_ordem=1"/>
    <hyperlink ref="I176" r:id="rId35" display="http://187.17.2.135/orse/composicao.asp?font_sg_fonte=ORSE&amp;serv_nr_codigo=7752&amp;peri_nr_ano=2018&amp;peri_nr_mes=9&amp;peri_nr_ordem=1"/>
    <hyperlink ref="I177" r:id="rId36" display="http://187.17.2.135/orse/composicao.asp?font_sg_fonte=ORSE&amp;serv_nr_codigo=4421&amp;peri_nr_ano=2018&amp;peri_nr_mes=9&amp;peri_nr_ordem=1"/>
    <hyperlink ref="I180" r:id="rId37" display="http://187.17.2.135/orse/composicao.asp?font_sg_fonte=SINAPI&amp;serv_nr_codigo=95795&amp;peri_nr_ano=2018&amp;peri_nr_mes=9&amp;peri_nr_ordem=1"/>
    <hyperlink ref="I181" r:id="rId38" display="http://187.17.2.135/orse/composicao.asp?font_sg_fonte=SINAPI&amp;serv_nr_codigo=95808&amp;peri_nr_ano=2018&amp;peri_nr_mes=9&amp;peri_nr_ordem=1"/>
    <hyperlink ref="I183" r:id="rId39" display="http://187.17.2.135/orse/composicao.asp?font_sg_fonte=ORSE&amp;serv_nr_codigo=9933&amp;peri_nr_ano=2018&amp;peri_nr_mes=9&amp;peri_nr_ordem=1"/>
    <hyperlink ref="I184" r:id="rId40" display="http://187.17.2.135/orse/composicao.asp?font_sg_fonte=ORSE&amp;serv_nr_codigo=784&amp;peri_nr_ano=2018&amp;peri_nr_mes=9&amp;peri_nr_ordem=1"/>
    <hyperlink ref="I186" r:id="rId41" display="http://187.17.2.135/orse/composicao.asp?font_sg_fonte=ORSE&amp;serv_nr_codigo=11186&amp;peri_nr_ano=2018&amp;peri_nr_mes=9&amp;peri_nr_ordem=1"/>
    <hyperlink ref="I187" r:id="rId42" display="http://187.17.2.135/orse/composicao.asp?font_sg_fonte=ORSE&amp;serv_nr_codigo=11187&amp;peri_nr_ano=2018&amp;peri_nr_mes=9&amp;peri_nr_ordem=1"/>
    <hyperlink ref="I188" r:id="rId43" display="http://187.17.2.135/orse/composicao.asp?font_sg_fonte=ORSE&amp;serv_nr_codigo=3801&amp;peri_nr_ano=2018&amp;peri_nr_mes=9&amp;peri_nr_ordem=1"/>
    <hyperlink ref="I189" r:id="rId44" display="http://187.17.2.135/orse/composicao.asp?font_sg_fonte=ORSE&amp;serv_nr_codigo=9968&amp;peri_nr_ano=2018&amp;peri_nr_mes=9&amp;peri_nr_ordem=1"/>
    <hyperlink ref="I191" r:id="rId45" display="http://187.17.2.135/orse/composicao.asp?font_sg_fonte=ORSE&amp;serv_nr_codigo=780&amp;peri_nr_ano=2018&amp;peri_nr_mes=9&amp;peri_nr_ordem=1"/>
    <hyperlink ref="I190" r:id="rId46" display="http://187.17.2.135/orse/composicao.asp?font_sg_fonte=ORSE&amp;serv_nr_codigo=478&amp;peri_nr_ano=2018&amp;peri_nr_mes=9&amp;peri_nr_ordem=1"/>
    <hyperlink ref="I192" r:id="rId47" display="http://187.17.2.135/orse/composicao.asp?font_sg_fonte=SINAPI&amp;serv_nr_codigo=92025&amp;peri_nr_ano=2018&amp;peri_nr_mes=9&amp;peri_nr_ordem=1"/>
    <hyperlink ref="I193" r:id="rId48" display="http://187.17.2.135/orse/composicao.asp?font_sg_fonte=SINAPI&amp;serv_nr_codigo=93653&amp;peri_nr_ano=2018&amp;peri_nr_mes=9&amp;peri_nr_ordem=1"/>
    <hyperlink ref="I194" r:id="rId49" display="http://187.17.2.135/orse/composicao.asp?font_sg_fonte=SINAPI&amp;serv_nr_codigo=93662&amp;peri_nr_ano=2018&amp;peri_nr_mes=9&amp;peri_nr_ordem=1"/>
    <hyperlink ref="I195" r:id="rId50" display="http://187.17.2.135/orse/composicao.asp?font_sg_fonte=SINAPI&amp;serv_nr_codigo=93663&amp;peri_nr_ano=2018&amp;peri_nr_mes=9&amp;peri_nr_ordem=1"/>
    <hyperlink ref="I207" r:id="rId51" display="http://187.17.2.135/orse/composicao.asp?font_sg_fonte=ORSE&amp;serv_nr_codigo=3954&amp;peri_nr_ano=2018&amp;peri_nr_mes=9&amp;peri_nr_ordem=1"/>
    <hyperlink ref="I208" r:id="rId52" display="http://187.17.2.135/orse/composicao.asp?font_sg_fonte=ORSE&amp;serv_nr_codigo=570&amp;peri_nr_ano=2018&amp;peri_nr_mes=9&amp;peri_nr_ordem=1"/>
    <hyperlink ref="I220" r:id="rId53" display="http://187.17.2.135/orse/composicao.asp?font_sg_fonte=ORSE&amp;serv_nr_codigo=12034&amp;peri_nr_ano=2018&amp;peri_nr_mes=9&amp;peri_nr_ordem=1"/>
    <hyperlink ref="I222" r:id="rId54" display="http://187.17.2.135/orse/composicao.asp?font_sg_fonte=ORSE&amp;serv_nr_codigo=10759&amp;peri_nr_ano=2018&amp;peri_nr_mes=9&amp;peri_nr_ordem=1"/>
    <hyperlink ref="I223" r:id="rId55" display="http://187.17.2.135/orse/composicao.asp?font_sg_fonte=ORSE&amp;serv_nr_codigo=2410&amp;peri_nr_ano=2018&amp;peri_nr_mes=9&amp;peri_nr_ordem=1"/>
    <hyperlink ref="I225" r:id="rId56" display="http://187.17.2.135/orse/composicao.asp?font_sg_fonte=ORSE&amp;serv_nr_codigo=8492&amp;peri_nr_ano=2018&amp;peri_nr_mes=9&amp;peri_nr_ordem=1"/>
    <hyperlink ref="I226" r:id="rId57" display="http://187.17.2.135/orse/composicao.asp?font_sg_fonte=ORSE&amp;serv_nr_codigo=1889&amp;peri_nr_ano=2018&amp;peri_nr_mes=9&amp;peri_nr_ordem=1"/>
  </hyperlinks>
  <printOptions horizontalCentered="1"/>
  <pageMargins left="0.19685039370078741" right="0.19685039370078741" top="0.39370078740157483" bottom="1.1811023622047245" header="0.31496062992125984" footer="0.31496062992125984"/>
  <pageSetup paperSize="9" scale="97" orientation="landscape" horizontalDpi="4294967293" verticalDpi="4294967293" r:id="rId58"/>
  <headerFooter>
    <oddFooter>&amp;LClarice Maria Lima FortesCNPJ: 18.228.092/0001-27&amp;C&amp;P/&amp;N&amp;RSabrina Livia de Medeiros PereiraEngenheira CivilCREA: 160495993-2</oddFooter>
  </headerFooter>
  <rowBreaks count="3" manualBreakCount="3">
    <brk id="87" max="29" man="1"/>
    <brk id="104" max="29" man="1"/>
    <brk id="177" max="29" man="1"/>
  </rowBreaks>
  <drawing r:id="rId59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D96"/>
  <sheetViews>
    <sheetView view="pageBreakPreview" zoomScale="110" zoomScaleSheetLayoutView="110" workbookViewId="0">
      <selection activeCell="C11" sqref="C11"/>
    </sheetView>
  </sheetViews>
  <sheetFormatPr defaultColWidth="9.140625" defaultRowHeight="12.75"/>
  <cols>
    <col min="1" max="1" width="9.140625" style="11"/>
    <col min="2" max="2" width="88.7109375" style="7" bestFit="1" customWidth="1"/>
    <col min="3" max="3" width="11.85546875" style="19" customWidth="1"/>
    <col min="4" max="4" width="12.5703125" style="142" customWidth="1"/>
    <col min="5" max="16384" width="9.140625" style="7"/>
  </cols>
  <sheetData>
    <row r="1" spans="1:4" ht="27" customHeight="1">
      <c r="A1" s="478" t="s">
        <v>363</v>
      </c>
      <c r="B1" s="478"/>
      <c r="C1" s="478"/>
      <c r="D1" s="478"/>
    </row>
    <row r="2" spans="1:4" ht="24.75" customHeight="1">
      <c r="A2" s="478" t="s">
        <v>365</v>
      </c>
      <c r="B2" s="478"/>
      <c r="C2" s="478"/>
      <c r="D2" s="478"/>
    </row>
    <row r="3" spans="1:4" ht="19.5" customHeight="1">
      <c r="A3" s="478" t="s">
        <v>366</v>
      </c>
      <c r="B3" s="478"/>
      <c r="C3" s="478"/>
      <c r="D3" s="478"/>
    </row>
    <row r="5" spans="1:4" ht="15" customHeight="1">
      <c r="A5" s="478" t="s">
        <v>437</v>
      </c>
      <c r="B5" s="478"/>
      <c r="C5" s="478"/>
      <c r="D5" s="478"/>
    </row>
    <row r="7" spans="1:4" s="10" customFormat="1">
      <c r="A7" s="12" t="s">
        <v>367</v>
      </c>
      <c r="B7" s="9" t="s">
        <v>368</v>
      </c>
      <c r="C7" s="17" t="s">
        <v>364</v>
      </c>
      <c r="D7" s="9" t="s">
        <v>369</v>
      </c>
    </row>
    <row r="8" spans="1:4">
      <c r="A8" s="13"/>
      <c r="B8" s="8"/>
      <c r="C8" s="15"/>
      <c r="D8" s="141"/>
    </row>
    <row r="9" spans="1:4" s="109" customFormat="1">
      <c r="A9" s="1">
        <v>6</v>
      </c>
      <c r="B9" s="2" t="s">
        <v>70</v>
      </c>
      <c r="C9" s="18"/>
      <c r="D9" s="9"/>
    </row>
    <row r="10" spans="1:4">
      <c r="A10" s="3"/>
      <c r="B10" s="4"/>
      <c r="C10" s="16"/>
      <c r="D10" s="4"/>
    </row>
    <row r="11" spans="1:4" s="109" customFormat="1">
      <c r="A11" s="1" t="s">
        <v>71</v>
      </c>
      <c r="B11" s="2" t="s">
        <v>72</v>
      </c>
      <c r="C11" s="18">
        <f>C23</f>
        <v>159.13999999999999</v>
      </c>
      <c r="D11" s="9" t="s">
        <v>399</v>
      </c>
    </row>
    <row r="12" spans="1:4">
      <c r="A12" s="5"/>
      <c r="B12" s="6"/>
      <c r="C12" s="20"/>
      <c r="D12" s="6"/>
    </row>
    <row r="13" spans="1:4" s="8" customFormat="1">
      <c r="A13" s="5"/>
      <c r="B13" s="6" t="s">
        <v>421</v>
      </c>
      <c r="C13" s="139">
        <v>1114</v>
      </c>
      <c r="D13" s="141" t="s">
        <v>417</v>
      </c>
    </row>
    <row r="14" spans="1:4" s="14" customFormat="1">
      <c r="A14" s="3"/>
      <c r="B14" s="4"/>
      <c r="C14" s="16"/>
      <c r="D14" s="4"/>
    </row>
    <row r="15" spans="1:4">
      <c r="A15" s="3"/>
      <c r="B15" s="6" t="s">
        <v>420</v>
      </c>
      <c r="C15" s="20">
        <v>7</v>
      </c>
      <c r="D15" s="6" t="s">
        <v>419</v>
      </c>
    </row>
    <row r="16" spans="1:4">
      <c r="A16" s="3"/>
      <c r="B16" s="6"/>
      <c r="C16" s="20"/>
      <c r="D16" s="6"/>
    </row>
    <row r="17" spans="1:4" s="14" customFormat="1">
      <c r="A17" s="3"/>
      <c r="B17" s="4" t="s">
        <v>422</v>
      </c>
      <c r="C17" s="16">
        <v>1</v>
      </c>
      <c r="D17" s="4" t="s">
        <v>418</v>
      </c>
    </row>
    <row r="18" spans="1:4">
      <c r="A18" s="3"/>
      <c r="B18" s="6"/>
      <c r="C18" s="20"/>
      <c r="D18" s="6"/>
    </row>
    <row r="19" spans="1:4">
      <c r="A19" s="3"/>
      <c r="B19" s="144" t="s">
        <v>429</v>
      </c>
      <c r="C19" s="20"/>
      <c r="D19" s="6"/>
    </row>
    <row r="20" spans="1:4" ht="13.5" thickBot="1">
      <c r="A20" s="3"/>
      <c r="B20" s="145" t="s">
        <v>423</v>
      </c>
    </row>
    <row r="21" spans="1:4" ht="13.5" thickBot="1">
      <c r="A21" s="3"/>
      <c r="B21" s="146" t="s">
        <v>428</v>
      </c>
      <c r="C21" s="20">
        <f>C17*C13/C15</f>
        <v>159.14285714285714</v>
      </c>
      <c r="D21" s="6" t="s">
        <v>399</v>
      </c>
    </row>
    <row r="22" spans="1:4">
      <c r="A22" s="3"/>
      <c r="B22" s="6"/>
      <c r="C22" s="20"/>
      <c r="D22" s="6"/>
    </row>
    <row r="23" spans="1:4">
      <c r="A23" s="3"/>
      <c r="B23" s="140" t="s">
        <v>425</v>
      </c>
      <c r="C23" s="16">
        <f>ROUND(C21,2)</f>
        <v>159.13999999999999</v>
      </c>
      <c r="D23" s="4" t="s">
        <v>417</v>
      </c>
    </row>
    <row r="24" spans="1:4">
      <c r="A24" s="3"/>
      <c r="B24" s="6"/>
      <c r="C24" s="20"/>
      <c r="D24" s="6"/>
    </row>
    <row r="25" spans="1:4" s="14" customFormat="1">
      <c r="A25" s="3"/>
      <c r="B25" s="140" t="s">
        <v>424</v>
      </c>
      <c r="C25" s="143">
        <f>ROUND(C23/C13,4)</f>
        <v>0.1429</v>
      </c>
      <c r="D25" s="4"/>
    </row>
    <row r="26" spans="1:4">
      <c r="A26" s="3"/>
      <c r="B26" s="4"/>
      <c r="C26" s="16"/>
      <c r="D26" s="4"/>
    </row>
    <row r="27" spans="1:4" s="109" customFormat="1" hidden="1">
      <c r="A27" s="1">
        <v>10</v>
      </c>
      <c r="B27" s="2" t="s">
        <v>108</v>
      </c>
      <c r="C27" s="18"/>
      <c r="D27" s="9"/>
    </row>
    <row r="28" spans="1:4" hidden="1">
      <c r="A28" s="3"/>
      <c r="B28" s="4"/>
      <c r="C28" s="16"/>
      <c r="D28" s="4"/>
    </row>
    <row r="29" spans="1:4" s="109" customFormat="1" hidden="1">
      <c r="A29" s="1" t="s">
        <v>115</v>
      </c>
      <c r="B29" s="2" t="s">
        <v>116</v>
      </c>
      <c r="C29" s="18">
        <f>C41</f>
        <v>0</v>
      </c>
      <c r="D29" s="9" t="s">
        <v>399</v>
      </c>
    </row>
    <row r="30" spans="1:4" s="8" customFormat="1" hidden="1">
      <c r="A30" s="5"/>
      <c r="B30" s="6"/>
      <c r="C30" s="157"/>
      <c r="D30" s="139"/>
    </row>
    <row r="31" spans="1:4" s="8" customFormat="1" hidden="1">
      <c r="A31" s="5"/>
      <c r="B31" s="6" t="s">
        <v>421</v>
      </c>
      <c r="C31" s="139">
        <v>1114</v>
      </c>
      <c r="D31" s="141" t="s">
        <v>417</v>
      </c>
    </row>
    <row r="32" spans="1:4" s="8" customFormat="1" hidden="1">
      <c r="A32" s="3"/>
      <c r="B32" s="4"/>
      <c r="C32" s="16"/>
      <c r="D32" s="4"/>
    </row>
    <row r="33" spans="1:4" s="8" customFormat="1" hidden="1">
      <c r="A33" s="3"/>
      <c r="B33" s="6" t="s">
        <v>420</v>
      </c>
      <c r="C33" s="20">
        <v>7</v>
      </c>
      <c r="D33" s="6" t="s">
        <v>419</v>
      </c>
    </row>
    <row r="34" spans="1:4" s="8" customFormat="1" hidden="1">
      <c r="A34" s="3"/>
      <c r="B34" s="6"/>
      <c r="C34" s="20"/>
      <c r="D34" s="6"/>
    </row>
    <row r="35" spans="1:4" s="8" customFormat="1" hidden="1">
      <c r="A35" s="3"/>
      <c r="B35" s="4" t="s">
        <v>422</v>
      </c>
      <c r="C35" s="16"/>
      <c r="D35" s="4" t="s">
        <v>418</v>
      </c>
    </row>
    <row r="36" spans="1:4" s="8" customFormat="1" hidden="1">
      <c r="A36" s="3"/>
      <c r="B36" s="6"/>
      <c r="C36" s="20"/>
      <c r="D36" s="6"/>
    </row>
    <row r="37" spans="1:4" s="8" customFormat="1" hidden="1">
      <c r="A37" s="3"/>
      <c r="B37" s="144" t="s">
        <v>429</v>
      </c>
      <c r="C37" s="20"/>
      <c r="D37" s="6"/>
    </row>
    <row r="38" spans="1:4" s="8" customFormat="1" ht="13.5" hidden="1" thickBot="1">
      <c r="A38" s="3"/>
      <c r="B38" s="145" t="s">
        <v>423</v>
      </c>
      <c r="C38" s="19"/>
      <c r="D38" s="142"/>
    </row>
    <row r="39" spans="1:4" s="8" customFormat="1" ht="13.5" hidden="1" thickBot="1">
      <c r="A39" s="3"/>
      <c r="B39" s="146" t="s">
        <v>428</v>
      </c>
      <c r="C39" s="20">
        <f>C35*C31/C33</f>
        <v>0</v>
      </c>
      <c r="D39" s="6" t="s">
        <v>399</v>
      </c>
    </row>
    <row r="40" spans="1:4" s="8" customFormat="1" hidden="1">
      <c r="A40" s="3"/>
      <c r="B40" s="6"/>
      <c r="C40" s="20"/>
      <c r="D40" s="6"/>
    </row>
    <row r="41" spans="1:4" s="8" customFormat="1" hidden="1">
      <c r="A41" s="3"/>
      <c r="B41" s="140" t="s">
        <v>425</v>
      </c>
      <c r="C41" s="16">
        <f>ROUND(C39,2)</f>
        <v>0</v>
      </c>
      <c r="D41" s="4" t="s">
        <v>417</v>
      </c>
    </row>
    <row r="42" spans="1:4" s="8" customFormat="1" hidden="1">
      <c r="A42" s="3"/>
      <c r="B42" s="6"/>
      <c r="C42" s="20"/>
      <c r="D42" s="6"/>
    </row>
    <row r="43" spans="1:4" s="8" customFormat="1" hidden="1">
      <c r="A43" s="3"/>
      <c r="B43" s="140" t="s">
        <v>424</v>
      </c>
      <c r="C43" s="143">
        <f>ROUND(C41/C31,4)</f>
        <v>0</v>
      </c>
      <c r="D43" s="4"/>
    </row>
    <row r="44" spans="1:4" s="8" customFormat="1" hidden="1">
      <c r="A44" s="3"/>
      <c r="B44" s="140"/>
      <c r="C44" s="143"/>
      <c r="D44" s="4"/>
    </row>
    <row r="45" spans="1:4" s="109" customFormat="1" hidden="1">
      <c r="A45" s="1" t="s">
        <v>117</v>
      </c>
      <c r="B45" s="2" t="s">
        <v>118</v>
      </c>
      <c r="C45" s="18">
        <f>C57</f>
        <v>0</v>
      </c>
      <c r="D45" s="9" t="s">
        <v>399</v>
      </c>
    </row>
    <row r="46" spans="1:4" s="8" customFormat="1" hidden="1">
      <c r="A46" s="5"/>
      <c r="B46" s="6"/>
      <c r="C46" s="5"/>
      <c r="D46" s="4"/>
    </row>
    <row r="47" spans="1:4" s="8" customFormat="1" hidden="1">
      <c r="A47" s="5"/>
      <c r="B47" s="6" t="s">
        <v>421</v>
      </c>
      <c r="C47" s="139">
        <v>1114</v>
      </c>
      <c r="D47" s="141" t="s">
        <v>417</v>
      </c>
    </row>
    <row r="48" spans="1:4" hidden="1">
      <c r="A48" s="3"/>
      <c r="B48" s="4"/>
      <c r="C48" s="16"/>
      <c r="D48" s="4"/>
    </row>
    <row r="49" spans="1:4" hidden="1">
      <c r="A49" s="3"/>
      <c r="B49" s="6" t="s">
        <v>420</v>
      </c>
      <c r="C49" s="20">
        <v>7</v>
      </c>
      <c r="D49" s="6" t="s">
        <v>419</v>
      </c>
    </row>
    <row r="50" spans="1:4" hidden="1">
      <c r="A50" s="3"/>
      <c r="B50" s="6"/>
      <c r="C50" s="20"/>
      <c r="D50" s="6"/>
    </row>
    <row r="51" spans="1:4" s="14" customFormat="1" hidden="1">
      <c r="A51" s="3"/>
      <c r="B51" s="4" t="s">
        <v>422</v>
      </c>
      <c r="C51" s="16"/>
      <c r="D51" s="4" t="s">
        <v>418</v>
      </c>
    </row>
    <row r="52" spans="1:4" hidden="1">
      <c r="A52" s="3"/>
      <c r="B52" s="6"/>
      <c r="C52" s="20"/>
      <c r="D52" s="6"/>
    </row>
    <row r="53" spans="1:4" hidden="1">
      <c r="A53" s="3"/>
      <c r="B53" s="144" t="s">
        <v>429</v>
      </c>
      <c r="C53" s="20"/>
      <c r="D53" s="6"/>
    </row>
    <row r="54" spans="1:4" ht="13.5" hidden="1" thickBot="1">
      <c r="A54" s="3"/>
      <c r="B54" s="145" t="s">
        <v>423</v>
      </c>
    </row>
    <row r="55" spans="1:4" ht="13.5" hidden="1" thickBot="1">
      <c r="A55" s="3"/>
      <c r="B55" s="146" t="s">
        <v>428</v>
      </c>
      <c r="C55" s="20">
        <f>C51*C47/C49</f>
        <v>0</v>
      </c>
      <c r="D55" s="6" t="s">
        <v>399</v>
      </c>
    </row>
    <row r="56" spans="1:4" s="111" customFormat="1" hidden="1">
      <c r="A56" s="3"/>
      <c r="B56" s="6"/>
      <c r="C56" s="20"/>
      <c r="D56" s="6"/>
    </row>
    <row r="57" spans="1:4" hidden="1">
      <c r="A57" s="3"/>
      <c r="B57" s="140" t="s">
        <v>425</v>
      </c>
      <c r="C57" s="16">
        <f>ROUND(C55,2)</f>
        <v>0</v>
      </c>
      <c r="D57" s="4" t="s">
        <v>417</v>
      </c>
    </row>
    <row r="58" spans="1:4" s="112" customFormat="1" hidden="1">
      <c r="A58" s="3"/>
      <c r="B58" s="6"/>
      <c r="C58" s="20"/>
      <c r="D58" s="6"/>
    </row>
    <row r="59" spans="1:4" hidden="1">
      <c r="A59" s="3"/>
      <c r="B59" s="140" t="s">
        <v>424</v>
      </c>
      <c r="C59" s="143">
        <f>ROUND(C57/C47,4)</f>
        <v>0</v>
      </c>
      <c r="D59" s="4"/>
    </row>
    <row r="60" spans="1:4" hidden="1"/>
    <row r="61" spans="1:4" hidden="1"/>
    <row r="62" spans="1:4" hidden="1"/>
    <row r="63" spans="1:4" hidden="1"/>
    <row r="64" spans="1:4" s="109" customFormat="1">
      <c r="A64" s="1">
        <v>10</v>
      </c>
      <c r="B64" s="2" t="s">
        <v>108</v>
      </c>
      <c r="C64" s="18"/>
      <c r="D64" s="9"/>
    </row>
    <row r="65" spans="1:4">
      <c r="A65" s="3"/>
      <c r="B65" s="4"/>
      <c r="C65" s="16"/>
      <c r="D65" s="4"/>
    </row>
    <row r="66" spans="1:4" s="109" customFormat="1">
      <c r="A66" s="1" t="s">
        <v>115</v>
      </c>
      <c r="B66" s="2" t="s">
        <v>116</v>
      </c>
      <c r="C66" s="18">
        <f>C78</f>
        <v>159.13999999999999</v>
      </c>
      <c r="D66" s="9" t="s">
        <v>399</v>
      </c>
    </row>
    <row r="67" spans="1:4" s="8" customFormat="1">
      <c r="A67" s="5"/>
      <c r="B67" s="6"/>
      <c r="C67" s="157"/>
      <c r="D67" s="139"/>
    </row>
    <row r="68" spans="1:4" s="8" customFormat="1">
      <c r="A68" s="5"/>
      <c r="B68" s="6" t="s">
        <v>421</v>
      </c>
      <c r="C68" s="139">
        <v>1114</v>
      </c>
      <c r="D68" s="141" t="s">
        <v>417</v>
      </c>
    </row>
    <row r="69" spans="1:4" s="8" customFormat="1">
      <c r="A69" s="3"/>
      <c r="B69" s="4"/>
      <c r="C69" s="16"/>
      <c r="D69" s="4"/>
    </row>
    <row r="70" spans="1:4" s="8" customFormat="1">
      <c r="A70" s="3"/>
      <c r="B70" s="6" t="s">
        <v>420</v>
      </c>
      <c r="C70" s="20">
        <v>7</v>
      </c>
      <c r="D70" s="6" t="s">
        <v>419</v>
      </c>
    </row>
    <row r="71" spans="1:4" s="8" customFormat="1">
      <c r="A71" s="3"/>
      <c r="B71" s="6"/>
      <c r="C71" s="20"/>
      <c r="D71" s="6"/>
    </row>
    <row r="72" spans="1:4" s="8" customFormat="1">
      <c r="A72" s="3"/>
      <c r="B72" s="4" t="s">
        <v>422</v>
      </c>
      <c r="C72" s="16">
        <v>1</v>
      </c>
      <c r="D72" s="4" t="s">
        <v>418</v>
      </c>
    </row>
    <row r="73" spans="1:4" s="8" customFormat="1">
      <c r="A73" s="3"/>
      <c r="B73" s="6"/>
      <c r="C73" s="20"/>
      <c r="D73" s="6"/>
    </row>
    <row r="74" spans="1:4" s="8" customFormat="1">
      <c r="A74" s="3"/>
      <c r="B74" s="144" t="s">
        <v>429</v>
      </c>
      <c r="C74" s="20"/>
      <c r="D74" s="6"/>
    </row>
    <row r="75" spans="1:4" s="8" customFormat="1" ht="13.5" thickBot="1">
      <c r="A75" s="3"/>
      <c r="B75" s="145" t="s">
        <v>423</v>
      </c>
      <c r="C75" s="19"/>
      <c r="D75" s="142"/>
    </row>
    <row r="76" spans="1:4" s="8" customFormat="1" ht="13.5" thickBot="1">
      <c r="A76" s="3"/>
      <c r="B76" s="146" t="s">
        <v>428</v>
      </c>
      <c r="C76" s="20">
        <f>C72*C68/C70</f>
        <v>159.14285714285714</v>
      </c>
      <c r="D76" s="6" t="s">
        <v>399</v>
      </c>
    </row>
    <row r="77" spans="1:4" s="8" customFormat="1">
      <c r="A77" s="3"/>
      <c r="B77" s="6"/>
      <c r="C77" s="20"/>
      <c r="D77" s="6"/>
    </row>
    <row r="78" spans="1:4" s="8" customFormat="1">
      <c r="A78" s="3"/>
      <c r="B78" s="140" t="s">
        <v>425</v>
      </c>
      <c r="C78" s="16">
        <f>ROUND(C76,2)</f>
        <v>159.13999999999999</v>
      </c>
      <c r="D78" s="4" t="s">
        <v>417</v>
      </c>
    </row>
    <row r="79" spans="1:4" s="8" customFormat="1">
      <c r="A79" s="3"/>
      <c r="B79" s="6"/>
      <c r="C79" s="20"/>
      <c r="D79" s="6"/>
    </row>
    <row r="80" spans="1:4" s="8" customFormat="1">
      <c r="A80" s="3"/>
      <c r="B80" s="140" t="s">
        <v>424</v>
      </c>
      <c r="C80" s="143">
        <f>ROUND(C78/C68,4)</f>
        <v>0.1429</v>
      </c>
      <c r="D80" s="4"/>
    </row>
    <row r="81" spans="1:4" s="8" customFormat="1">
      <c r="A81" s="3"/>
      <c r="B81" s="140"/>
      <c r="C81" s="143"/>
      <c r="D81" s="4"/>
    </row>
    <row r="82" spans="1:4" s="109" customFormat="1">
      <c r="A82" s="1" t="s">
        <v>117</v>
      </c>
      <c r="B82" s="2" t="s">
        <v>118</v>
      </c>
      <c r="C82" s="18">
        <f>C94</f>
        <v>159.13999999999999</v>
      </c>
      <c r="D82" s="9" t="s">
        <v>399</v>
      </c>
    </row>
    <row r="83" spans="1:4" s="8" customFormat="1">
      <c r="A83" s="5"/>
      <c r="B83" s="6"/>
      <c r="C83" s="5"/>
      <c r="D83" s="4"/>
    </row>
    <row r="84" spans="1:4" s="8" customFormat="1">
      <c r="A84" s="5"/>
      <c r="B84" s="6" t="s">
        <v>421</v>
      </c>
      <c r="C84" s="139">
        <v>1114</v>
      </c>
      <c r="D84" s="141" t="s">
        <v>417</v>
      </c>
    </row>
    <row r="85" spans="1:4">
      <c r="A85" s="3"/>
      <c r="B85" s="4"/>
      <c r="C85" s="16"/>
      <c r="D85" s="4"/>
    </row>
    <row r="86" spans="1:4">
      <c r="A86" s="3"/>
      <c r="B86" s="6" t="s">
        <v>420</v>
      </c>
      <c r="C86" s="20">
        <v>7</v>
      </c>
      <c r="D86" s="6" t="s">
        <v>419</v>
      </c>
    </row>
    <row r="87" spans="1:4">
      <c r="A87" s="3"/>
      <c r="B87" s="6"/>
      <c r="C87" s="20"/>
      <c r="D87" s="6"/>
    </row>
    <row r="88" spans="1:4" s="14" customFormat="1">
      <c r="A88" s="3"/>
      <c r="B88" s="4" t="s">
        <v>422</v>
      </c>
      <c r="C88" s="16">
        <v>1</v>
      </c>
      <c r="D88" s="4" t="s">
        <v>418</v>
      </c>
    </row>
    <row r="89" spans="1:4">
      <c r="A89" s="3"/>
      <c r="B89" s="6"/>
      <c r="C89" s="20"/>
      <c r="D89" s="6"/>
    </row>
    <row r="90" spans="1:4">
      <c r="A90" s="3"/>
      <c r="B90" s="144" t="s">
        <v>429</v>
      </c>
      <c r="C90" s="20"/>
      <c r="D90" s="6"/>
    </row>
    <row r="91" spans="1:4" ht="13.5" thickBot="1">
      <c r="A91" s="3"/>
      <c r="B91" s="145" t="s">
        <v>423</v>
      </c>
    </row>
    <row r="92" spans="1:4" ht="13.5" thickBot="1">
      <c r="A92" s="3"/>
      <c r="B92" s="146" t="s">
        <v>428</v>
      </c>
      <c r="C92" s="20">
        <f>C88*C84/C86</f>
        <v>159.14285714285714</v>
      </c>
      <c r="D92" s="6" t="s">
        <v>399</v>
      </c>
    </row>
    <row r="93" spans="1:4" s="111" customFormat="1">
      <c r="A93" s="3"/>
      <c r="B93" s="6"/>
      <c r="C93" s="20"/>
      <c r="D93" s="6"/>
    </row>
    <row r="94" spans="1:4">
      <c r="A94" s="3"/>
      <c r="B94" s="140" t="s">
        <v>425</v>
      </c>
      <c r="C94" s="16">
        <f>ROUND(C92,2)</f>
        <v>159.13999999999999</v>
      </c>
      <c r="D94" s="4" t="s">
        <v>417</v>
      </c>
    </row>
    <row r="95" spans="1:4" s="112" customFormat="1">
      <c r="A95" s="3"/>
      <c r="B95" s="6"/>
      <c r="C95" s="20"/>
      <c r="D95" s="6"/>
    </row>
    <row r="96" spans="1:4">
      <c r="A96" s="3"/>
      <c r="B96" s="140" t="s">
        <v>424</v>
      </c>
      <c r="C96" s="143">
        <f>ROUND(C94/C84,4)</f>
        <v>0.1429</v>
      </c>
      <c r="D96" s="4"/>
    </row>
  </sheetData>
  <mergeCells count="4">
    <mergeCell ref="A3:D3"/>
    <mergeCell ref="A2:D2"/>
    <mergeCell ref="A1:D1"/>
    <mergeCell ref="A5:D5"/>
  </mergeCells>
  <printOptions horizontalCentered="1"/>
  <pageMargins left="0.39370078740157483" right="0.39370078740157483" top="0.39370078740157483" bottom="0.98425196850393704" header="0.31496062992125984" footer="0.31496062992125984"/>
  <pageSetup paperSize="9" scale="74" orientation="portrait" horizontalDpi="300" verticalDpi="300" r:id="rId1"/>
  <headerFooter>
    <oddFooter>&amp;LClarice Maria Lima FortesCNPJ: 18.228.092/0001-27&amp;C&amp;P/&amp;N&amp;RSabrina Livia de Medeiros PereiraEngenheira CivilCREA: 160495993-2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D16"/>
  <sheetViews>
    <sheetView view="pageBreakPreview" topLeftCell="A7" zoomScale="150" zoomScaleSheetLayoutView="150" workbookViewId="0">
      <selection activeCell="D13" sqref="D13"/>
    </sheetView>
  </sheetViews>
  <sheetFormatPr defaultColWidth="9.140625" defaultRowHeight="18.75"/>
  <cols>
    <col min="1" max="1" width="47.5703125" style="122" customWidth="1"/>
    <col min="2" max="2" width="20.7109375" style="123" bestFit="1" customWidth="1"/>
    <col min="3" max="3" width="13.28515625" style="119" bestFit="1" customWidth="1"/>
    <col min="4" max="4" width="14.42578125" style="119" bestFit="1" customWidth="1"/>
    <col min="5" max="16384" width="9.140625" style="119"/>
  </cols>
  <sheetData>
    <row r="1" spans="1:4" ht="19.5" thickBot="1">
      <c r="A1" s="479" t="s">
        <v>408</v>
      </c>
      <c r="B1" s="480"/>
      <c r="C1" s="481"/>
    </row>
    <row r="2" spans="1:4">
      <c r="A2" s="134" t="s">
        <v>367</v>
      </c>
      <c r="B2" s="134" t="s">
        <v>409</v>
      </c>
      <c r="C2" s="134" t="s">
        <v>410</v>
      </c>
    </row>
    <row r="3" spans="1:4">
      <c r="A3" s="130" t="s">
        <v>404</v>
      </c>
      <c r="B3" s="131">
        <v>62112.09</v>
      </c>
      <c r="C3" s="132" t="s">
        <v>411</v>
      </c>
    </row>
    <row r="4" spans="1:4">
      <c r="A4" s="130" t="s">
        <v>405</v>
      </c>
      <c r="B4" s="131">
        <v>32073.11</v>
      </c>
      <c r="C4" s="132" t="s">
        <v>411</v>
      </c>
    </row>
    <row r="5" spans="1:4">
      <c r="A5" s="130" t="s">
        <v>406</v>
      </c>
      <c r="B5" s="131">
        <v>11237.65</v>
      </c>
      <c r="C5" s="132" t="s">
        <v>411</v>
      </c>
    </row>
    <row r="6" spans="1:4">
      <c r="A6" s="130" t="s">
        <v>407</v>
      </c>
      <c r="B6" s="131">
        <v>17485.513199999998</v>
      </c>
      <c r="C6" s="132" t="s">
        <v>411</v>
      </c>
    </row>
    <row r="7" spans="1:4">
      <c r="A7" s="130" t="s">
        <v>426</v>
      </c>
      <c r="B7" s="131" t="e">
        <f>'PLAN. ORÇAMENTO'!AA233</f>
        <v>#REF!</v>
      </c>
      <c r="C7" s="132" t="s">
        <v>411</v>
      </c>
    </row>
    <row r="8" spans="1:4">
      <c r="A8" s="128" t="s">
        <v>432</v>
      </c>
      <c r="B8" s="129" t="e">
        <f>'PLAN. ORÇAMENTO'!AA233</f>
        <v>#REF!</v>
      </c>
      <c r="C8" s="133" t="s">
        <v>413</v>
      </c>
    </row>
    <row r="9" spans="1:4" s="151" customFormat="1" ht="17.25">
      <c r="A9" s="148" t="s">
        <v>412</v>
      </c>
      <c r="B9" s="149" t="e">
        <f>SUM(B3:B7)</f>
        <v>#REF!</v>
      </c>
      <c r="C9" s="150"/>
    </row>
    <row r="10" spans="1:4">
      <c r="A10" s="124" t="s">
        <v>413</v>
      </c>
      <c r="B10" s="125" t="e">
        <f>B8</f>
        <v>#REF!</v>
      </c>
    </row>
    <row r="11" spans="1:4">
      <c r="A11" s="126" t="s">
        <v>414</v>
      </c>
      <c r="B11" s="127" t="e">
        <f>SUM(B9:B10)</f>
        <v>#REF!</v>
      </c>
      <c r="C11" s="147"/>
      <c r="D11" s="147"/>
    </row>
    <row r="13" spans="1:4">
      <c r="A13" s="126" t="s">
        <v>415</v>
      </c>
      <c r="B13" s="127">
        <v>550194.43999999994</v>
      </c>
      <c r="C13" s="147"/>
      <c r="D13" s="147"/>
    </row>
    <row r="14" spans="1:4">
      <c r="A14" s="120"/>
      <c r="B14" s="121"/>
    </row>
    <row r="15" spans="1:4">
      <c r="A15" s="135" t="s">
        <v>427</v>
      </c>
      <c r="B15" s="136" t="e">
        <f>B13-B9</f>
        <v>#REF!</v>
      </c>
    </row>
    <row r="16" spans="1:4">
      <c r="A16" s="128" t="s">
        <v>431</v>
      </c>
      <c r="B16" s="129" t="e">
        <f>B13-B11</f>
        <v>#REF!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</sheetPr>
  <dimension ref="A2:AA269"/>
  <sheetViews>
    <sheetView tabSelected="1" view="pageBreakPreview" topLeftCell="C250" zoomScaleSheetLayoutView="100" workbookViewId="0">
      <selection activeCell="A9" sqref="A9:E9"/>
    </sheetView>
  </sheetViews>
  <sheetFormatPr defaultColWidth="9.140625" defaultRowHeight="12.75"/>
  <cols>
    <col min="1" max="1" width="6.42578125" style="269" customWidth="1"/>
    <col min="2" max="2" width="49.42578125" style="269" customWidth="1"/>
    <col min="3" max="3" width="9.42578125" style="269" customWidth="1"/>
    <col min="4" max="4" width="11.5703125" style="293" customWidth="1"/>
    <col min="5" max="5" width="12" style="387" customWidth="1"/>
    <col min="6" max="6" width="21" style="292" customWidth="1"/>
    <col min="7" max="7" width="12.5703125" style="324" customWidth="1"/>
    <col min="8" max="8" width="11.42578125" style="328" bestFit="1" customWidth="1"/>
    <col min="9" max="9" width="13.28515625" style="325" bestFit="1" customWidth="1"/>
    <col min="10" max="10" width="5.5703125" style="320" hidden="1" customWidth="1"/>
    <col min="11" max="11" width="12.140625" style="292" customWidth="1"/>
    <col min="12" max="12" width="17.5703125" style="337" customWidth="1"/>
    <col min="13" max="13" width="17.140625" style="268" customWidth="1"/>
    <col min="14" max="14" width="19" style="268" customWidth="1"/>
    <col min="15" max="15" width="15.42578125" style="268" customWidth="1"/>
    <col min="16" max="19" width="9.140625" style="268" customWidth="1"/>
    <col min="20" max="27" width="9.140625" style="268"/>
    <col min="28" max="16384" width="9.140625" style="269"/>
  </cols>
  <sheetData>
    <row r="2" spans="1:27" ht="14.25" customHeight="1">
      <c r="A2" s="485" t="s">
        <v>552</v>
      </c>
      <c r="B2" s="485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262"/>
      <c r="O2" s="262"/>
      <c r="P2" s="262"/>
    </row>
    <row r="3" spans="1:27" ht="14.25" customHeight="1">
      <c r="A3" s="485" t="s">
        <v>556</v>
      </c>
      <c r="B3" s="485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262"/>
      <c r="O3" s="262"/>
      <c r="P3" s="262"/>
    </row>
    <row r="4" spans="1:27" ht="14.25" customHeight="1">
      <c r="A4" s="485" t="s">
        <v>898</v>
      </c>
      <c r="B4" s="485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262"/>
      <c r="O4" s="262"/>
      <c r="P4" s="262"/>
    </row>
    <row r="5" spans="1:27" ht="13.5" thickBot="1">
      <c r="A5" s="525"/>
      <c r="B5" s="525"/>
    </row>
    <row r="6" spans="1:27" ht="17.25" customHeight="1">
      <c r="A6" s="510" t="s">
        <v>396</v>
      </c>
      <c r="B6" s="511"/>
      <c r="C6" s="511"/>
      <c r="D6" s="511"/>
      <c r="E6" s="511"/>
      <c r="F6" s="511"/>
      <c r="G6" s="511"/>
      <c r="H6" s="512"/>
      <c r="I6" s="512"/>
      <c r="J6" s="512"/>
      <c r="K6" s="266"/>
      <c r="L6" s="336"/>
      <c r="M6" s="267"/>
      <c r="U6" s="269"/>
      <c r="V6" s="269"/>
      <c r="W6" s="269"/>
      <c r="X6" s="269"/>
      <c r="Y6" s="269"/>
      <c r="Z6" s="269"/>
      <c r="AA6" s="269"/>
    </row>
    <row r="7" spans="1:27" ht="26.25" customHeight="1">
      <c r="A7" s="491" t="s">
        <v>370</v>
      </c>
      <c r="B7" s="492"/>
      <c r="C7" s="492"/>
      <c r="D7" s="492"/>
      <c r="E7" s="493"/>
      <c r="F7" s="271" t="s">
        <v>371</v>
      </c>
      <c r="G7" s="272" t="s">
        <v>372</v>
      </c>
      <c r="H7" s="482" t="s">
        <v>373</v>
      </c>
      <c r="I7" s="483"/>
      <c r="J7" s="483"/>
      <c r="K7" s="484"/>
      <c r="L7" s="494" t="s">
        <v>374</v>
      </c>
      <c r="M7" s="495"/>
      <c r="U7" s="269"/>
      <c r="V7" s="269"/>
      <c r="W7" s="269"/>
      <c r="X7" s="269"/>
      <c r="Y7" s="269"/>
      <c r="Z7" s="269"/>
      <c r="AA7" s="269"/>
    </row>
    <row r="8" spans="1:27" s="268" customFormat="1" ht="14.25" customHeight="1">
      <c r="A8" s="502" t="s">
        <v>556</v>
      </c>
      <c r="B8" s="503"/>
      <c r="C8" s="503"/>
      <c r="D8" s="503"/>
      <c r="E8" s="504"/>
      <c r="F8" s="273">
        <v>2</v>
      </c>
      <c r="G8" s="429">
        <v>44545</v>
      </c>
      <c r="H8" s="513" t="s">
        <v>974</v>
      </c>
      <c r="I8" s="514"/>
      <c r="J8" s="514"/>
      <c r="K8" s="515"/>
      <c r="L8" s="505">
        <v>43865</v>
      </c>
      <c r="M8" s="506"/>
    </row>
    <row r="9" spans="1:27" s="268" customFormat="1" ht="24.75" customHeight="1">
      <c r="A9" s="491" t="s">
        <v>375</v>
      </c>
      <c r="B9" s="492"/>
      <c r="C9" s="492"/>
      <c r="D9" s="492"/>
      <c r="E9" s="493"/>
      <c r="F9" s="271" t="s">
        <v>376</v>
      </c>
      <c r="G9" s="272" t="s">
        <v>377</v>
      </c>
      <c r="H9" s="482" t="s">
        <v>378</v>
      </c>
      <c r="I9" s="483"/>
      <c r="J9" s="483"/>
      <c r="K9" s="484"/>
      <c r="L9" s="494" t="s">
        <v>379</v>
      </c>
      <c r="M9" s="495"/>
    </row>
    <row r="10" spans="1:27" s="268" customFormat="1" ht="15" customHeight="1">
      <c r="A10" s="502" t="s">
        <v>539</v>
      </c>
      <c r="B10" s="503"/>
      <c r="C10" s="503"/>
      <c r="D10" s="503"/>
      <c r="E10" s="504"/>
      <c r="F10" s="274" t="s">
        <v>540</v>
      </c>
      <c r="G10" s="430">
        <v>43866</v>
      </c>
      <c r="H10" s="507">
        <v>44696</v>
      </c>
      <c r="I10" s="508"/>
      <c r="J10" s="509"/>
      <c r="L10" s="505" t="s">
        <v>558</v>
      </c>
      <c r="M10" s="506"/>
    </row>
    <row r="11" spans="1:27" s="268" customFormat="1" ht="14.25" customHeight="1">
      <c r="A11" s="491" t="s">
        <v>380</v>
      </c>
      <c r="B11" s="492"/>
      <c r="C11" s="492"/>
      <c r="D11" s="492"/>
      <c r="E11" s="493"/>
      <c r="F11" s="526" t="s">
        <v>381</v>
      </c>
      <c r="G11" s="527"/>
      <c r="H11" s="527"/>
      <c r="I11" s="527"/>
      <c r="J11" s="527"/>
      <c r="K11" s="528"/>
      <c r="L11" s="494" t="s">
        <v>382</v>
      </c>
      <c r="M11" s="495"/>
    </row>
    <row r="12" spans="1:27" s="268" customFormat="1" ht="27" customHeight="1">
      <c r="A12" s="496" t="s">
        <v>557</v>
      </c>
      <c r="B12" s="497"/>
      <c r="C12" s="497"/>
      <c r="D12" s="497"/>
      <c r="E12" s="498"/>
      <c r="F12" s="499" t="s">
        <v>897</v>
      </c>
      <c r="G12" s="500"/>
      <c r="H12" s="500"/>
      <c r="I12" s="500"/>
      <c r="J12" s="500"/>
      <c r="K12" s="501"/>
      <c r="L12" s="486">
        <v>835483.47</v>
      </c>
      <c r="M12" s="487"/>
    </row>
    <row r="13" spans="1:27" s="268" customFormat="1" ht="16.5" customHeight="1">
      <c r="A13" s="488" t="s">
        <v>394</v>
      </c>
      <c r="B13" s="489"/>
      <c r="C13" s="489"/>
      <c r="D13" s="489"/>
      <c r="E13" s="489"/>
      <c r="F13" s="489"/>
      <c r="G13" s="489"/>
      <c r="H13" s="489"/>
      <c r="I13" s="489"/>
      <c r="J13" s="489"/>
      <c r="K13" s="490"/>
      <c r="L13" s="486">
        <f>L16+L26+L101+L22+L51+L86+L89+L105+L119+L157+L194+L234+L241+L247+L255+L264</f>
        <v>68154.01884460001</v>
      </c>
      <c r="M13" s="487"/>
      <c r="N13" s="340"/>
    </row>
    <row r="14" spans="1:27" s="268" customFormat="1" ht="16.5" customHeight="1">
      <c r="A14" s="314"/>
      <c r="B14" s="312"/>
      <c r="C14" s="522" t="s">
        <v>387</v>
      </c>
      <c r="D14" s="523"/>
      <c r="E14" s="523"/>
      <c r="F14" s="524"/>
      <c r="G14" s="532" t="s">
        <v>906</v>
      </c>
      <c r="H14" s="533"/>
      <c r="I14" s="534"/>
      <c r="J14" s="275"/>
      <c r="K14" s="535" t="s">
        <v>390</v>
      </c>
      <c r="L14" s="536"/>
      <c r="M14" s="537"/>
    </row>
    <row r="15" spans="1:27" ht="51" customHeight="1">
      <c r="A15" s="366" t="s">
        <v>0</v>
      </c>
      <c r="B15" s="313" t="s">
        <v>1</v>
      </c>
      <c r="C15" s="301" t="s">
        <v>2</v>
      </c>
      <c r="D15" s="301" t="s">
        <v>3</v>
      </c>
      <c r="E15" s="302" t="s">
        <v>973</v>
      </c>
      <c r="F15" s="302" t="s">
        <v>4</v>
      </c>
      <c r="G15" s="304" t="s">
        <v>392</v>
      </c>
      <c r="H15" s="304" t="s">
        <v>385</v>
      </c>
      <c r="I15" s="304" t="s">
        <v>386</v>
      </c>
      <c r="J15" s="303" t="s">
        <v>401</v>
      </c>
      <c r="K15" s="302" t="s">
        <v>388</v>
      </c>
      <c r="L15" s="303" t="s">
        <v>385</v>
      </c>
      <c r="M15" s="305" t="s">
        <v>389</v>
      </c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</row>
    <row r="16" spans="1:27" s="297" customFormat="1">
      <c r="A16" s="295" t="s">
        <v>541</v>
      </c>
      <c r="B16" s="519" t="s">
        <v>5</v>
      </c>
      <c r="C16" s="520"/>
      <c r="D16" s="520"/>
      <c r="E16" s="521"/>
      <c r="F16" s="300">
        <f>SUM(F17:F20)</f>
        <v>12655.240407999998</v>
      </c>
      <c r="G16" s="322"/>
      <c r="H16" s="326"/>
      <c r="I16" s="310"/>
      <c r="J16" s="299"/>
      <c r="K16" s="405">
        <f>SUM(K17:K20)</f>
        <v>8146.5383999999995</v>
      </c>
      <c r="L16" s="408">
        <f>SUM(L17:L20)</f>
        <v>2750.0020080000004</v>
      </c>
      <c r="M16" s="408">
        <f>SUM(M17:M20)</f>
        <v>10896.540408000001</v>
      </c>
      <c r="N16" s="360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6"/>
      <c r="Z16" s="296"/>
      <c r="AA16" s="296"/>
    </row>
    <row r="17" spans="1:27" s="317" customFormat="1" ht="25.5">
      <c r="A17" s="276" t="s">
        <v>6</v>
      </c>
      <c r="B17" s="277" t="s">
        <v>559</v>
      </c>
      <c r="C17" s="278" t="s">
        <v>105</v>
      </c>
      <c r="D17" s="279">
        <v>134</v>
      </c>
      <c r="E17" s="279">
        <v>34.572600000000001</v>
      </c>
      <c r="F17" s="283">
        <f>E17*D17</f>
        <v>4632.7284</v>
      </c>
      <c r="G17" s="400">
        <v>134</v>
      </c>
      <c r="H17" s="327"/>
      <c r="I17" s="399">
        <f>G17+H17</f>
        <v>134</v>
      </c>
      <c r="J17" s="283"/>
      <c r="K17" s="406">
        <f>E17*G17</f>
        <v>4632.7284</v>
      </c>
      <c r="L17" s="407"/>
      <c r="M17" s="406">
        <f>K17+L17</f>
        <v>4632.7284</v>
      </c>
      <c r="N17" s="338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</row>
    <row r="18" spans="1:27" s="317" customFormat="1" ht="25.5">
      <c r="A18" s="276" t="s">
        <v>9</v>
      </c>
      <c r="B18" s="281" t="s">
        <v>560</v>
      </c>
      <c r="C18" s="278" t="s">
        <v>78</v>
      </c>
      <c r="D18" s="279">
        <v>1</v>
      </c>
      <c r="E18" s="279">
        <v>1758.7</v>
      </c>
      <c r="F18" s="283">
        <f>E18*D18</f>
        <v>1758.7</v>
      </c>
      <c r="G18" s="323"/>
      <c r="H18" s="327"/>
      <c r="I18" s="291"/>
      <c r="J18" s="283"/>
      <c r="K18" s="280"/>
      <c r="L18" s="363"/>
      <c r="M18" s="363"/>
      <c r="N18" s="338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</row>
    <row r="19" spans="1:27" s="317" customFormat="1">
      <c r="A19" s="276" t="s">
        <v>11</v>
      </c>
      <c r="B19" s="282" t="s">
        <v>561</v>
      </c>
      <c r="C19" s="278" t="s">
        <v>8</v>
      </c>
      <c r="D19" s="279">
        <v>10</v>
      </c>
      <c r="E19" s="279">
        <v>351.38099999999997</v>
      </c>
      <c r="F19" s="283">
        <f>E19*D19</f>
        <v>3513.8099999999995</v>
      </c>
      <c r="G19" s="400">
        <v>10</v>
      </c>
      <c r="H19" s="327"/>
      <c r="I19" s="399">
        <f>G19+H19</f>
        <v>10</v>
      </c>
      <c r="J19" s="283"/>
      <c r="K19" s="280">
        <f>E19*G19</f>
        <v>3513.8099999999995</v>
      </c>
      <c r="L19" s="362"/>
      <c r="M19" s="410">
        <f>K19+L19</f>
        <v>3513.8099999999995</v>
      </c>
      <c r="N19" s="338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</row>
    <row r="20" spans="1:27" s="317" customFormat="1" ht="25.5">
      <c r="A20" s="276" t="s">
        <v>13</v>
      </c>
      <c r="B20" s="380" t="s">
        <v>970</v>
      </c>
      <c r="C20" s="381" t="s">
        <v>8</v>
      </c>
      <c r="D20" s="382">
        <v>1200</v>
      </c>
      <c r="E20" s="383">
        <f>2.21*1.3126*0.79</f>
        <v>2.2916683400000002</v>
      </c>
      <c r="F20" s="283">
        <f>D20*E20</f>
        <v>2750.0020080000004</v>
      </c>
      <c r="G20" s="323"/>
      <c r="H20" s="400">
        <v>1200</v>
      </c>
      <c r="I20" s="399">
        <v>1200</v>
      </c>
      <c r="J20" s="283"/>
      <c r="K20" s="404"/>
      <c r="L20" s="406">
        <f>E20*H20</f>
        <v>2750.0020080000004</v>
      </c>
      <c r="M20" s="406">
        <f>K20+L20</f>
        <v>2750.0020080000004</v>
      </c>
      <c r="N20" s="338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</row>
    <row r="21" spans="1:27" s="317" customFormat="1">
      <c r="A21" s="529"/>
      <c r="B21" s="530"/>
      <c r="C21" s="530"/>
      <c r="D21" s="530"/>
      <c r="E21" s="530"/>
      <c r="F21" s="530"/>
      <c r="G21" s="530"/>
      <c r="H21" s="530"/>
      <c r="I21" s="530"/>
      <c r="J21" s="530"/>
      <c r="K21" s="530"/>
      <c r="L21" s="530"/>
      <c r="M21" s="531"/>
      <c r="N21" s="338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</row>
    <row r="22" spans="1:27" s="319" customFormat="1">
      <c r="A22" s="295" t="s">
        <v>543</v>
      </c>
      <c r="B22" s="519" t="s">
        <v>20</v>
      </c>
      <c r="C22" s="520"/>
      <c r="D22" s="520"/>
      <c r="E22" s="521"/>
      <c r="F22" s="300">
        <f>SUM(F23:F24)</f>
        <v>21241.503113799998</v>
      </c>
      <c r="G22" s="322"/>
      <c r="H22" s="326"/>
      <c r="I22" s="310"/>
      <c r="J22" s="299"/>
      <c r="K22" s="409">
        <f>SUM(K23:K24)</f>
        <v>1312.3423529999998</v>
      </c>
      <c r="L22" s="408">
        <f>SUM(L23:L24)</f>
        <v>3253.9586899999995</v>
      </c>
      <c r="M22" s="408">
        <f>SUM(M23:M24)</f>
        <v>4566.3010429999995</v>
      </c>
      <c r="N22" s="361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</row>
    <row r="23" spans="1:27" s="317" customFormat="1" ht="25.5">
      <c r="A23" s="278" t="s">
        <v>21</v>
      </c>
      <c r="B23" s="277" t="s">
        <v>562</v>
      </c>
      <c r="C23" s="278" t="s">
        <v>23</v>
      </c>
      <c r="D23" s="279">
        <v>81.209999999999994</v>
      </c>
      <c r="E23" s="279">
        <v>52.514699999999998</v>
      </c>
      <c r="F23" s="283">
        <f>E23*D23</f>
        <v>4264.7187869999998</v>
      </c>
      <c r="G23" s="400">
        <v>24.99</v>
      </c>
      <c r="H23" s="400">
        <v>21.79</v>
      </c>
      <c r="I23" s="399">
        <f>G23+H23</f>
        <v>46.78</v>
      </c>
      <c r="J23" s="283"/>
      <c r="K23" s="406">
        <f>E23*G23</f>
        <v>1312.3423529999998</v>
      </c>
      <c r="L23" s="406">
        <f>E23*H23</f>
        <v>1144.2953129999999</v>
      </c>
      <c r="M23" s="406">
        <f>K23+L23</f>
        <v>2456.6376659999996</v>
      </c>
      <c r="N23" s="338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</row>
    <row r="24" spans="1:27" s="317" customFormat="1" ht="25.5">
      <c r="A24" s="379" t="s">
        <v>24</v>
      </c>
      <c r="B24" s="389" t="s">
        <v>971</v>
      </c>
      <c r="C24" s="381" t="s">
        <v>23</v>
      </c>
      <c r="D24" s="279">
        <v>501.74</v>
      </c>
      <c r="E24" s="279">
        <v>33.835819999999998</v>
      </c>
      <c r="F24" s="283">
        <f>D24*E24</f>
        <v>16976.7843268</v>
      </c>
      <c r="G24" s="323"/>
      <c r="H24" s="400">
        <v>62.35</v>
      </c>
      <c r="I24" s="399">
        <v>62.35</v>
      </c>
      <c r="J24" s="283"/>
      <c r="K24" s="406"/>
      <c r="L24" s="406">
        <f>E24*H24</f>
        <v>2109.6633769999999</v>
      </c>
      <c r="M24" s="406">
        <f>K24+L24</f>
        <v>2109.6633769999999</v>
      </c>
      <c r="N24" s="338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</row>
    <row r="25" spans="1:27" s="317" customFormat="1">
      <c r="A25" s="516"/>
      <c r="B25" s="517"/>
      <c r="C25" s="517"/>
      <c r="D25" s="517"/>
      <c r="E25" s="517"/>
      <c r="F25" s="517"/>
      <c r="G25" s="517"/>
      <c r="H25" s="517"/>
      <c r="I25" s="517"/>
      <c r="J25" s="517"/>
      <c r="K25" s="517"/>
      <c r="L25" s="517"/>
      <c r="M25" s="518"/>
      <c r="N25" s="338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</row>
    <row r="26" spans="1:27" s="297" customFormat="1">
      <c r="A26" s="295" t="s">
        <v>544</v>
      </c>
      <c r="B26" s="519" t="s">
        <v>563</v>
      </c>
      <c r="C26" s="520"/>
      <c r="D26" s="520"/>
      <c r="E26" s="521"/>
      <c r="F26" s="300">
        <f>SUM(F27,F42,F44)</f>
        <v>154321.84075190002</v>
      </c>
      <c r="G26" s="322"/>
      <c r="H26" s="326"/>
      <c r="I26" s="310"/>
      <c r="J26" s="299"/>
      <c r="K26" s="412">
        <f>SUM(A22:M25)</f>
        <v>61635.770919599985</v>
      </c>
      <c r="L26" s="411">
        <f>SUM(L27,L42,L44)</f>
        <v>60986.287769600007</v>
      </c>
      <c r="M26" s="411">
        <f>SUM(M27,M42,M44)</f>
        <v>78358.1288011</v>
      </c>
      <c r="N26" s="361"/>
      <c r="O26" s="365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</row>
    <row r="27" spans="1:27" s="317" customFormat="1">
      <c r="A27" s="284" t="s">
        <v>33</v>
      </c>
      <c r="B27" s="285" t="s">
        <v>564</v>
      </c>
      <c r="C27" s="284"/>
      <c r="D27" s="286"/>
      <c r="E27" s="388"/>
      <c r="F27" s="393">
        <f>SUM(F28:F41)-0.01</f>
        <v>63766.269369499998</v>
      </c>
      <c r="G27" s="323"/>
      <c r="H27" s="327"/>
      <c r="I27" s="291"/>
      <c r="J27" s="283"/>
      <c r="K27" s="398">
        <f>SUM(K28:K41)</f>
        <v>43948.701060500003</v>
      </c>
      <c r="L27" s="398">
        <f>SUM(L28:L41)</f>
        <v>5330.2052549999999</v>
      </c>
      <c r="M27" s="419">
        <f>SUM(M28:M41)</f>
        <v>22702.046286499997</v>
      </c>
      <c r="N27" s="338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</row>
    <row r="28" spans="1:27">
      <c r="A28" s="278" t="s">
        <v>35</v>
      </c>
      <c r="B28" s="281" t="s">
        <v>918</v>
      </c>
      <c r="C28" s="278" t="s">
        <v>23</v>
      </c>
      <c r="D28" s="279">
        <v>67.27</v>
      </c>
      <c r="E28" s="279">
        <v>63.211100000000002</v>
      </c>
      <c r="F28" s="283">
        <f t="shared" ref="F28:F49" si="0">E28*D28</f>
        <v>4252.2106969999995</v>
      </c>
      <c r="G28" s="400">
        <v>26.04</v>
      </c>
      <c r="H28" s="401"/>
      <c r="I28" s="399">
        <f>G28+H28</f>
        <v>26.04</v>
      </c>
      <c r="J28" s="283"/>
      <c r="K28" s="280">
        <f t="shared" ref="K28:K40" si="1">E28*G28</f>
        <v>1646.0170439999999</v>
      </c>
      <c r="L28" s="362"/>
      <c r="M28" s="415">
        <f t="shared" ref="M28:M30" si="2">K28+L28</f>
        <v>1646.0170439999999</v>
      </c>
      <c r="N28" s="338"/>
      <c r="O28" s="339"/>
    </row>
    <row r="29" spans="1:27" s="317" customFormat="1">
      <c r="A29" s="278" t="s">
        <v>37</v>
      </c>
      <c r="B29" s="281" t="s">
        <v>565</v>
      </c>
      <c r="C29" s="278" t="s">
        <v>8</v>
      </c>
      <c r="D29" s="279">
        <v>43.4</v>
      </c>
      <c r="E29" s="279">
        <v>1.5802</v>
      </c>
      <c r="F29" s="283">
        <f t="shared" si="0"/>
        <v>68.580680000000001</v>
      </c>
      <c r="G29" s="400">
        <v>43.4</v>
      </c>
      <c r="H29" s="401"/>
      <c r="I29" s="399">
        <f t="shared" ref="I29:I30" si="3">G29+H29</f>
        <v>43.4</v>
      </c>
      <c r="J29" s="283"/>
      <c r="K29" s="280">
        <f t="shared" si="1"/>
        <v>68.580680000000001</v>
      </c>
      <c r="L29" s="362"/>
      <c r="M29" s="415">
        <f t="shared" si="2"/>
        <v>68.580680000000001</v>
      </c>
      <c r="N29" s="338"/>
      <c r="O29" s="316"/>
      <c r="P29" s="316"/>
      <c r="Q29" s="316"/>
      <c r="R29" s="316"/>
      <c r="S29" s="316"/>
      <c r="T29" s="316"/>
      <c r="U29" s="316"/>
      <c r="V29" s="316"/>
      <c r="W29" s="316"/>
      <c r="X29" s="316"/>
      <c r="Y29" s="316"/>
      <c r="Z29" s="316"/>
      <c r="AA29" s="316"/>
    </row>
    <row r="30" spans="1:27" s="317" customFormat="1" ht="25.5">
      <c r="A30" s="278" t="s">
        <v>39</v>
      </c>
      <c r="B30" s="281" t="s">
        <v>566</v>
      </c>
      <c r="C30" s="278" t="s">
        <v>23</v>
      </c>
      <c r="D30" s="279">
        <v>2.17</v>
      </c>
      <c r="E30" s="279">
        <v>497.23050000000001</v>
      </c>
      <c r="F30" s="283">
        <f t="shared" si="0"/>
        <v>1078.9901849999999</v>
      </c>
      <c r="G30" s="400">
        <v>2.17</v>
      </c>
      <c r="H30" s="401"/>
      <c r="I30" s="399">
        <f t="shared" si="3"/>
        <v>2.17</v>
      </c>
      <c r="J30" s="283"/>
      <c r="K30" s="280">
        <f t="shared" si="1"/>
        <v>1078.9901849999999</v>
      </c>
      <c r="L30" s="362"/>
      <c r="M30" s="415">
        <f t="shared" si="2"/>
        <v>1078.9901849999999</v>
      </c>
      <c r="N30" s="338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</row>
    <row r="31" spans="1:27" s="317" customFormat="1" ht="25.5">
      <c r="A31" s="278" t="s">
        <v>567</v>
      </c>
      <c r="B31" s="281" t="s">
        <v>568</v>
      </c>
      <c r="C31" s="278" t="s">
        <v>8</v>
      </c>
      <c r="D31" s="279">
        <v>167.25</v>
      </c>
      <c r="E31" s="279">
        <v>113.52204999999999</v>
      </c>
      <c r="F31" s="283">
        <f t="shared" si="0"/>
        <v>18986.562862499999</v>
      </c>
      <c r="G31" s="400">
        <v>62.85</v>
      </c>
      <c r="H31" s="400">
        <v>34.5</v>
      </c>
      <c r="I31" s="399">
        <f>G31+H31</f>
        <v>97.35</v>
      </c>
      <c r="J31" s="283"/>
      <c r="K31" s="280">
        <f t="shared" si="1"/>
        <v>7134.8608424999993</v>
      </c>
      <c r="L31" s="410">
        <f>E31*H31</f>
        <v>3916.5107249999996</v>
      </c>
      <c r="M31" s="415">
        <f>K31+L31</f>
        <v>11051.371567499998</v>
      </c>
      <c r="N31" s="338"/>
      <c r="O31" s="339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A31" s="316"/>
    </row>
    <row r="32" spans="1:27" s="317" customFormat="1" ht="25.5">
      <c r="A32" s="278" t="s">
        <v>569</v>
      </c>
      <c r="B32" s="281" t="s">
        <v>919</v>
      </c>
      <c r="C32" s="278" t="s">
        <v>570</v>
      </c>
      <c r="D32" s="279">
        <v>127.6</v>
      </c>
      <c r="E32" s="279">
        <v>20.500599999999999</v>
      </c>
      <c r="F32" s="283">
        <f t="shared" si="0"/>
        <v>2615.8765599999997</v>
      </c>
      <c r="G32" s="400">
        <f>'MEMÓRIA DE CÁLCULO'!R46</f>
        <v>127.6</v>
      </c>
      <c r="H32" s="401"/>
      <c r="I32" s="399">
        <f>G32+H32</f>
        <v>127.6</v>
      </c>
      <c r="J32" s="283"/>
      <c r="K32" s="280">
        <f t="shared" si="1"/>
        <v>2615.8765599999997</v>
      </c>
      <c r="L32" s="362"/>
      <c r="M32" s="415">
        <f t="shared" ref="M32:M38" si="4">I32</f>
        <v>127.6</v>
      </c>
      <c r="N32" s="338"/>
      <c r="O32" s="316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A32" s="316"/>
    </row>
    <row r="33" spans="1:27" s="317" customFormat="1" ht="25.5">
      <c r="A33" s="278" t="s">
        <v>571</v>
      </c>
      <c r="B33" s="281" t="s">
        <v>920</v>
      </c>
      <c r="C33" s="278" t="s">
        <v>570</v>
      </c>
      <c r="D33" s="279">
        <v>285.8</v>
      </c>
      <c r="E33" s="279">
        <v>20.092130000000001</v>
      </c>
      <c r="F33" s="283">
        <f t="shared" si="0"/>
        <v>5742.3307540000005</v>
      </c>
      <c r="G33" s="400">
        <f>'MEMÓRIA DE CÁLCULO'!R49</f>
        <v>285.8</v>
      </c>
      <c r="H33" s="401"/>
      <c r="I33" s="399">
        <f t="shared" ref="I33:I38" si="5">G33+H33</f>
        <v>285.8</v>
      </c>
      <c r="J33" s="283"/>
      <c r="K33" s="280">
        <f t="shared" si="1"/>
        <v>5742.3307540000005</v>
      </c>
      <c r="L33" s="362"/>
      <c r="M33" s="415">
        <f t="shared" si="4"/>
        <v>285.8</v>
      </c>
      <c r="N33" s="338"/>
      <c r="O33" s="316"/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Z33" s="316"/>
      <c r="AA33" s="316"/>
    </row>
    <row r="34" spans="1:27" s="317" customFormat="1" ht="25.5">
      <c r="A34" s="278" t="s">
        <v>572</v>
      </c>
      <c r="B34" s="281" t="s">
        <v>921</v>
      </c>
      <c r="C34" s="278" t="s">
        <v>570</v>
      </c>
      <c r="D34" s="279">
        <v>149.30000000000001</v>
      </c>
      <c r="E34" s="279">
        <v>19.393350000000002</v>
      </c>
      <c r="F34" s="283">
        <f t="shared" si="0"/>
        <v>2895.4271550000003</v>
      </c>
      <c r="G34" s="400">
        <f>'MEMÓRIA DE CÁLCULO'!R52</f>
        <v>149.30000000000001</v>
      </c>
      <c r="H34" s="401"/>
      <c r="I34" s="399">
        <f t="shared" si="5"/>
        <v>149.30000000000001</v>
      </c>
      <c r="J34" s="283"/>
      <c r="K34" s="280">
        <f t="shared" si="1"/>
        <v>2895.4271550000003</v>
      </c>
      <c r="L34" s="362"/>
      <c r="M34" s="415">
        <f t="shared" si="4"/>
        <v>149.30000000000001</v>
      </c>
      <c r="N34" s="338"/>
      <c r="O34" s="316"/>
      <c r="P34" s="316"/>
      <c r="Q34" s="316"/>
      <c r="R34" s="316"/>
      <c r="S34" s="316"/>
      <c r="T34" s="316"/>
      <c r="U34" s="316"/>
      <c r="V34" s="316"/>
      <c r="W34" s="316"/>
      <c r="X34" s="316"/>
      <c r="Y34" s="316"/>
      <c r="Z34" s="316"/>
      <c r="AA34" s="316"/>
    </row>
    <row r="35" spans="1:27" s="317" customFormat="1" ht="25.5">
      <c r="A35" s="278" t="s">
        <v>573</v>
      </c>
      <c r="B35" s="281" t="s">
        <v>922</v>
      </c>
      <c r="C35" s="278" t="s">
        <v>570</v>
      </c>
      <c r="D35" s="279">
        <v>396.5</v>
      </c>
      <c r="E35" s="279">
        <v>17.608830000000001</v>
      </c>
      <c r="F35" s="283">
        <f t="shared" si="0"/>
        <v>6981.9010950000002</v>
      </c>
      <c r="G35" s="400">
        <f>'MEMÓRIA DE CÁLCULO'!R55</f>
        <v>396.5</v>
      </c>
      <c r="H35" s="401"/>
      <c r="I35" s="399">
        <f t="shared" si="5"/>
        <v>396.5</v>
      </c>
      <c r="J35" s="283"/>
      <c r="K35" s="280">
        <f t="shared" si="1"/>
        <v>6981.9010950000002</v>
      </c>
      <c r="L35" s="362"/>
      <c r="M35" s="415">
        <f t="shared" si="4"/>
        <v>396.5</v>
      </c>
      <c r="N35" s="338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</row>
    <row r="36" spans="1:27" s="317" customFormat="1" ht="25.5">
      <c r="A36" s="278" t="s">
        <v>574</v>
      </c>
      <c r="B36" s="281" t="s">
        <v>923</v>
      </c>
      <c r="C36" s="278" t="s">
        <v>570</v>
      </c>
      <c r="D36" s="279">
        <v>187.4</v>
      </c>
      <c r="E36" s="279">
        <v>15.03955</v>
      </c>
      <c r="F36" s="283">
        <f t="shared" si="0"/>
        <v>2818.41167</v>
      </c>
      <c r="G36" s="400">
        <f>'MEMÓRIA DE CÁLCULO'!R58</f>
        <v>187.4</v>
      </c>
      <c r="H36" s="401"/>
      <c r="I36" s="399">
        <f t="shared" si="5"/>
        <v>187.4</v>
      </c>
      <c r="J36" s="283"/>
      <c r="K36" s="280">
        <f t="shared" si="1"/>
        <v>2818.41167</v>
      </c>
      <c r="L36" s="362"/>
      <c r="M36" s="415">
        <f t="shared" si="4"/>
        <v>187.4</v>
      </c>
      <c r="N36" s="338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</row>
    <row r="37" spans="1:27" s="317" customFormat="1" ht="25.5">
      <c r="A37" s="278" t="s">
        <v>575</v>
      </c>
      <c r="B37" s="281" t="s">
        <v>924</v>
      </c>
      <c r="C37" s="278" t="s">
        <v>570</v>
      </c>
      <c r="D37" s="279">
        <v>298.3</v>
      </c>
      <c r="E37" s="279">
        <v>14.502000000000001</v>
      </c>
      <c r="F37" s="283">
        <f t="shared" si="0"/>
        <v>4325.9466000000002</v>
      </c>
      <c r="G37" s="400">
        <f>'MEMÓRIA DE CÁLCULO'!R61</f>
        <v>298.3</v>
      </c>
      <c r="H37" s="401"/>
      <c r="I37" s="399">
        <f t="shared" si="5"/>
        <v>298.3</v>
      </c>
      <c r="J37" s="283"/>
      <c r="K37" s="280">
        <f t="shared" si="1"/>
        <v>4325.9466000000002</v>
      </c>
      <c r="L37" s="362"/>
      <c r="M37" s="415">
        <f t="shared" si="4"/>
        <v>298.3</v>
      </c>
      <c r="N37" s="338"/>
      <c r="O37" s="316"/>
      <c r="P37" s="316"/>
      <c r="Q37" s="316"/>
      <c r="R37" s="316"/>
      <c r="S37" s="316"/>
      <c r="T37" s="316"/>
      <c r="U37" s="316"/>
      <c r="V37" s="316"/>
      <c r="W37" s="316"/>
      <c r="X37" s="316"/>
      <c r="Y37" s="316"/>
      <c r="Z37" s="316"/>
      <c r="AA37" s="316"/>
    </row>
    <row r="38" spans="1:27" s="317" customFormat="1" ht="25.5">
      <c r="A38" s="278" t="s">
        <v>576</v>
      </c>
      <c r="B38" s="281" t="s">
        <v>925</v>
      </c>
      <c r="C38" s="278" t="s">
        <v>570</v>
      </c>
      <c r="D38" s="279">
        <v>170.9</v>
      </c>
      <c r="E38" s="279">
        <v>16.458549999999999</v>
      </c>
      <c r="F38" s="283">
        <f t="shared" si="0"/>
        <v>2812.7661949999997</v>
      </c>
      <c r="G38" s="400">
        <f>'MEMÓRIA DE CÁLCULO'!R64</f>
        <v>170.9</v>
      </c>
      <c r="H38" s="401"/>
      <c r="I38" s="399">
        <f t="shared" si="5"/>
        <v>170.9</v>
      </c>
      <c r="J38" s="283"/>
      <c r="K38" s="280">
        <f t="shared" si="1"/>
        <v>2812.7661949999997</v>
      </c>
      <c r="L38" s="362"/>
      <c r="M38" s="415">
        <f t="shared" si="4"/>
        <v>170.9</v>
      </c>
      <c r="N38" s="338"/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</row>
    <row r="39" spans="1:27" s="317" customFormat="1" ht="25.5">
      <c r="A39" s="278" t="s">
        <v>577</v>
      </c>
      <c r="B39" s="281" t="s">
        <v>926</v>
      </c>
      <c r="C39" s="278" t="s">
        <v>23</v>
      </c>
      <c r="D39" s="279">
        <v>17.05</v>
      </c>
      <c r="E39" s="279">
        <v>396.33850000000001</v>
      </c>
      <c r="F39" s="283">
        <f t="shared" si="0"/>
        <v>6757.5714250000001</v>
      </c>
      <c r="G39" s="400">
        <f>'MEMÓRIA DE CÁLCULO'!R67</f>
        <v>10.59</v>
      </c>
      <c r="H39" s="402">
        <v>1.56</v>
      </c>
      <c r="I39" s="399">
        <f>G39+H39</f>
        <v>12.15</v>
      </c>
      <c r="J39" s="283"/>
      <c r="K39" s="280">
        <f t="shared" si="1"/>
        <v>4197.2247150000003</v>
      </c>
      <c r="L39" s="410">
        <f>E39*H39</f>
        <v>618.28806000000009</v>
      </c>
      <c r="M39" s="415">
        <f>K39+L39</f>
        <v>4815.5127750000001</v>
      </c>
      <c r="N39" s="338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</row>
    <row r="40" spans="1:27" s="317" customFormat="1" ht="25.5">
      <c r="A40" s="278" t="s">
        <v>578</v>
      </c>
      <c r="B40" s="281" t="s">
        <v>927</v>
      </c>
      <c r="C40" s="278" t="s">
        <v>23</v>
      </c>
      <c r="D40" s="279">
        <v>17.05</v>
      </c>
      <c r="E40" s="279">
        <v>153.95349999999999</v>
      </c>
      <c r="F40" s="283">
        <f t="shared" si="0"/>
        <v>2624.9071749999998</v>
      </c>
      <c r="G40" s="400">
        <f>'MEMÓRIA DE CÁLCULO'!R202</f>
        <v>10.59</v>
      </c>
      <c r="H40" s="402">
        <v>1.56</v>
      </c>
      <c r="I40" s="399">
        <f>G40+H40</f>
        <v>12.15</v>
      </c>
      <c r="J40" s="283"/>
      <c r="K40" s="280">
        <f t="shared" si="1"/>
        <v>1630.3675649999998</v>
      </c>
      <c r="L40" s="410">
        <f>E40*H40</f>
        <v>240.16746000000001</v>
      </c>
      <c r="M40" s="415">
        <f>K40+L40</f>
        <v>1870.5350249999997</v>
      </c>
      <c r="N40" s="338"/>
      <c r="O40" s="364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</row>
    <row r="41" spans="1:27" s="317" customFormat="1">
      <c r="A41" s="278" t="s">
        <v>580</v>
      </c>
      <c r="B41" s="281" t="s">
        <v>928</v>
      </c>
      <c r="C41" s="278" t="s">
        <v>23</v>
      </c>
      <c r="D41" s="279">
        <v>50.22</v>
      </c>
      <c r="E41" s="279">
        <v>35.937800000000003</v>
      </c>
      <c r="F41" s="283">
        <f t="shared" si="0"/>
        <v>1804.7963160000002</v>
      </c>
      <c r="G41" s="323"/>
      <c r="H41" s="400">
        <v>15.45</v>
      </c>
      <c r="I41" s="399">
        <f>G41+H41</f>
        <v>15.45</v>
      </c>
      <c r="J41" s="283"/>
      <c r="K41" s="280"/>
      <c r="L41" s="280">
        <f>E41*H41</f>
        <v>555.23901000000001</v>
      </c>
      <c r="M41" s="415">
        <f>K41+L41</f>
        <v>555.23901000000001</v>
      </c>
      <c r="N41" s="338"/>
      <c r="O41" s="316"/>
      <c r="P41" s="316"/>
      <c r="Q41" s="316"/>
      <c r="R41" s="316"/>
      <c r="S41" s="316"/>
      <c r="T41" s="316"/>
      <c r="U41" s="316"/>
      <c r="V41" s="316"/>
      <c r="W41" s="316"/>
      <c r="X41" s="316"/>
      <c r="Y41" s="316"/>
      <c r="Z41" s="316"/>
      <c r="AA41" s="316"/>
    </row>
    <row r="42" spans="1:27" s="317" customFormat="1">
      <c r="A42" s="284" t="s">
        <v>41</v>
      </c>
      <c r="B42" s="285" t="s">
        <v>581</v>
      </c>
      <c r="C42" s="284"/>
      <c r="D42" s="286"/>
      <c r="E42" s="388"/>
      <c r="F42" s="393">
        <f>F43</f>
        <v>56360.321394000006</v>
      </c>
      <c r="G42" s="323"/>
      <c r="H42" s="327"/>
      <c r="I42" s="291"/>
      <c r="J42" s="283"/>
      <c r="K42" s="280"/>
      <c r="L42" s="398">
        <f>L43</f>
        <v>42503.150092000003</v>
      </c>
      <c r="M42" s="416">
        <f>M43</f>
        <v>42503.150092000003</v>
      </c>
      <c r="N42" s="338"/>
      <c r="O42" s="316"/>
      <c r="P42" s="316"/>
      <c r="Q42" s="316"/>
      <c r="R42" s="316"/>
      <c r="S42" s="316"/>
      <c r="T42" s="316"/>
      <c r="U42" s="316"/>
      <c r="V42" s="316"/>
      <c r="W42" s="316"/>
      <c r="X42" s="316"/>
      <c r="Y42" s="316"/>
      <c r="Z42" s="316"/>
      <c r="AA42" s="316"/>
    </row>
    <row r="43" spans="1:27" s="317" customFormat="1" ht="25.5">
      <c r="A43" s="278" t="s">
        <v>43</v>
      </c>
      <c r="B43" s="277" t="s">
        <v>582</v>
      </c>
      <c r="C43" s="278" t="s">
        <v>23</v>
      </c>
      <c r="D43" s="279">
        <v>153.66</v>
      </c>
      <c r="E43" s="279">
        <v>366.78590000000003</v>
      </c>
      <c r="F43" s="283">
        <f t="shared" si="0"/>
        <v>56360.321394000006</v>
      </c>
      <c r="G43" s="400"/>
      <c r="H43" s="402">
        <v>115.88</v>
      </c>
      <c r="I43" s="403">
        <f>G43+H43</f>
        <v>115.88</v>
      </c>
      <c r="J43" s="283"/>
      <c r="K43" s="280"/>
      <c r="L43" s="280">
        <f>E43*H43</f>
        <v>42503.150092000003</v>
      </c>
      <c r="M43" s="415">
        <f>K43+L43</f>
        <v>42503.150092000003</v>
      </c>
      <c r="N43" s="338"/>
      <c r="O43" s="316"/>
      <c r="P43" s="316"/>
      <c r="Q43" s="316"/>
      <c r="R43" s="316"/>
      <c r="S43" s="316"/>
      <c r="T43" s="316"/>
      <c r="U43" s="316"/>
      <c r="V43" s="316"/>
      <c r="W43" s="316"/>
      <c r="X43" s="316"/>
      <c r="Y43" s="316"/>
      <c r="Z43" s="316"/>
      <c r="AA43" s="316"/>
    </row>
    <row r="44" spans="1:27">
      <c r="A44" s="284" t="s">
        <v>583</v>
      </c>
      <c r="B44" s="285" t="s">
        <v>584</v>
      </c>
      <c r="C44" s="284"/>
      <c r="D44" s="286"/>
      <c r="E44" s="388"/>
      <c r="F44" s="393">
        <f>SUM(F45:F49)</f>
        <v>34195.249988400006</v>
      </c>
      <c r="G44" s="400"/>
      <c r="H44" s="401"/>
      <c r="I44" s="403"/>
      <c r="J44" s="283"/>
      <c r="K44" s="280"/>
      <c r="L44" s="398">
        <f>SUM(L45:L49)</f>
        <v>13152.932422600001</v>
      </c>
      <c r="M44" s="416">
        <f>SUM(M45:M49)</f>
        <v>13152.932422600001</v>
      </c>
      <c r="N44" s="338"/>
    </row>
    <row r="45" spans="1:27" s="317" customFormat="1" ht="25.5">
      <c r="A45" s="278" t="s">
        <v>585</v>
      </c>
      <c r="B45" s="281" t="s">
        <v>586</v>
      </c>
      <c r="C45" s="278" t="s">
        <v>8</v>
      </c>
      <c r="D45" s="279">
        <v>233.62</v>
      </c>
      <c r="E45" s="279">
        <v>65.017150000000001</v>
      </c>
      <c r="F45" s="283">
        <f t="shared" si="0"/>
        <v>15189.306583000001</v>
      </c>
      <c r="G45" s="400"/>
      <c r="H45" s="402">
        <v>74.08</v>
      </c>
      <c r="I45" s="403">
        <v>74.08</v>
      </c>
      <c r="J45" s="283"/>
      <c r="K45" s="288"/>
      <c r="L45" s="413">
        <f>E45*H45</f>
        <v>4816.470472</v>
      </c>
      <c r="M45" s="417">
        <f>K45+L45</f>
        <v>4816.470472</v>
      </c>
      <c r="N45" s="338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</row>
    <row r="46" spans="1:27" s="317" customFormat="1" ht="38.25">
      <c r="A46" s="278" t="s">
        <v>587</v>
      </c>
      <c r="B46" s="281" t="s">
        <v>588</v>
      </c>
      <c r="C46" s="278" t="s">
        <v>570</v>
      </c>
      <c r="D46" s="279">
        <v>275.86</v>
      </c>
      <c r="E46" s="279">
        <v>20.49</v>
      </c>
      <c r="F46" s="283">
        <f>E46*D46-0.03</f>
        <v>5652.3414000000002</v>
      </c>
      <c r="G46" s="400"/>
      <c r="H46" s="402">
        <v>127.71</v>
      </c>
      <c r="I46" s="403">
        <f>G46+H46</f>
        <v>127.71</v>
      </c>
      <c r="J46" s="283"/>
      <c r="K46" s="287"/>
      <c r="L46" s="414">
        <f>E46*H46</f>
        <v>2616.7778999999996</v>
      </c>
      <c r="M46" s="418">
        <f>K46+L46</f>
        <v>2616.7778999999996</v>
      </c>
      <c r="N46" s="338"/>
      <c r="O46" s="316"/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  <c r="AA46" s="316"/>
    </row>
    <row r="47" spans="1:27" s="317" customFormat="1" ht="38.25">
      <c r="A47" s="278" t="s">
        <v>589</v>
      </c>
      <c r="B47" s="281" t="s">
        <v>896</v>
      </c>
      <c r="C47" s="278" t="s">
        <v>570</v>
      </c>
      <c r="D47" s="279">
        <v>372.88</v>
      </c>
      <c r="E47" s="279">
        <v>18.501080000000002</v>
      </c>
      <c r="F47" s="283">
        <f t="shared" si="0"/>
        <v>6898.6827104000004</v>
      </c>
      <c r="G47" s="400"/>
      <c r="H47" s="402">
        <v>173.82</v>
      </c>
      <c r="I47" s="403">
        <f>G47+H47</f>
        <v>173.82</v>
      </c>
      <c r="J47" s="283"/>
      <c r="K47" s="280"/>
      <c r="L47" s="406">
        <f>E47*H47</f>
        <v>3215.8577256000003</v>
      </c>
      <c r="M47" s="415">
        <f>K47+L47</f>
        <v>3215.8577256000003</v>
      </c>
      <c r="N47" s="338"/>
      <c r="O47" s="316"/>
      <c r="P47" s="316"/>
      <c r="Q47" s="316"/>
      <c r="R47" s="316"/>
      <c r="S47" s="316"/>
      <c r="T47" s="316"/>
      <c r="U47" s="316"/>
      <c r="V47" s="316"/>
      <c r="W47" s="316"/>
      <c r="X47" s="316"/>
      <c r="Y47" s="316"/>
      <c r="Z47" s="316"/>
      <c r="AA47" s="316"/>
    </row>
    <row r="48" spans="1:27" s="317" customFormat="1" ht="25.5">
      <c r="A48" s="278" t="s">
        <v>590</v>
      </c>
      <c r="B48" s="281" t="s">
        <v>591</v>
      </c>
      <c r="C48" s="278" t="s">
        <v>23</v>
      </c>
      <c r="D48" s="279">
        <v>11.73</v>
      </c>
      <c r="E48" s="279">
        <v>396.33850000000001</v>
      </c>
      <c r="F48" s="283">
        <f t="shared" si="0"/>
        <v>4649.0506050000004</v>
      </c>
      <c r="G48" s="400"/>
      <c r="H48" s="402">
        <v>4.55</v>
      </c>
      <c r="I48" s="403">
        <f>G48+H48</f>
        <v>4.55</v>
      </c>
      <c r="J48" s="283"/>
      <c r="K48" s="280"/>
      <c r="L48" s="406">
        <f>E48*H48</f>
        <v>1803.340175</v>
      </c>
      <c r="M48" s="415">
        <f>K48+L48</f>
        <v>1803.340175</v>
      </c>
      <c r="N48" s="338"/>
      <c r="O48" s="316"/>
      <c r="P48" s="316"/>
      <c r="Q48" s="316"/>
      <c r="R48" s="316"/>
      <c r="S48" s="316"/>
      <c r="T48" s="316"/>
      <c r="U48" s="316"/>
      <c r="V48" s="316"/>
      <c r="W48" s="316"/>
      <c r="X48" s="316"/>
      <c r="Y48" s="316"/>
      <c r="Z48" s="316"/>
      <c r="AA48" s="316"/>
    </row>
    <row r="49" spans="1:27" s="317" customFormat="1" ht="25.5">
      <c r="A49" s="278" t="s">
        <v>592</v>
      </c>
      <c r="B49" s="277" t="s">
        <v>579</v>
      </c>
      <c r="C49" s="278" t="s">
        <v>23</v>
      </c>
      <c r="D49" s="279">
        <v>11.73</v>
      </c>
      <c r="E49" s="279">
        <v>153.953</v>
      </c>
      <c r="F49" s="283">
        <f t="shared" si="0"/>
        <v>1805.86869</v>
      </c>
      <c r="G49" s="400"/>
      <c r="H49" s="402">
        <v>4.55</v>
      </c>
      <c r="I49" s="403">
        <f>G49+H49</f>
        <v>4.55</v>
      </c>
      <c r="J49" s="283"/>
      <c r="K49" s="288"/>
      <c r="L49" s="413">
        <f>E49*H49</f>
        <v>700.48614999999995</v>
      </c>
      <c r="M49" s="417">
        <f>K49+L49</f>
        <v>700.48614999999995</v>
      </c>
      <c r="N49" s="338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</row>
    <row r="50" spans="1:27" s="317" customFormat="1">
      <c r="A50" s="516"/>
      <c r="B50" s="517"/>
      <c r="C50" s="517"/>
      <c r="D50" s="517"/>
      <c r="E50" s="517"/>
      <c r="F50" s="517"/>
      <c r="G50" s="517"/>
      <c r="H50" s="517"/>
      <c r="I50" s="517"/>
      <c r="J50" s="517"/>
      <c r="K50" s="517"/>
      <c r="L50" s="517"/>
      <c r="M50" s="518"/>
      <c r="N50" s="338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</row>
    <row r="51" spans="1:27" s="319" customFormat="1">
      <c r="A51" s="295" t="s">
        <v>545</v>
      </c>
      <c r="B51" s="519" t="s">
        <v>47</v>
      </c>
      <c r="C51" s="520"/>
      <c r="D51" s="520"/>
      <c r="E51" s="521"/>
      <c r="F51" s="300">
        <f>SUM(F52,F61,F72,F80)+0.01</f>
        <v>157392.00127750004</v>
      </c>
      <c r="G51" s="322"/>
      <c r="H51" s="326"/>
      <c r="I51" s="310"/>
      <c r="J51" s="299"/>
      <c r="K51" s="298"/>
      <c r="L51" s="298">
        <f>SUM(L52:L85)</f>
        <v>0</v>
      </c>
      <c r="M51" s="298"/>
      <c r="N51" s="33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</row>
    <row r="52" spans="1:27" s="317" customFormat="1">
      <c r="A52" s="284" t="s">
        <v>48</v>
      </c>
      <c r="B52" s="285" t="s">
        <v>593</v>
      </c>
      <c r="C52" s="284"/>
      <c r="D52" s="286"/>
      <c r="E52" s="388"/>
      <c r="F52" s="393">
        <f>SUM(F53:F60)+0.01</f>
        <v>45462.599783500009</v>
      </c>
      <c r="G52" s="323"/>
      <c r="H52" s="327"/>
      <c r="I52" s="291"/>
      <c r="J52" s="283"/>
      <c r="K52" s="280"/>
      <c r="L52" s="280"/>
      <c r="M52" s="280"/>
      <c r="N52" s="338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</row>
    <row r="53" spans="1:27" ht="51">
      <c r="A53" s="278" t="s">
        <v>50</v>
      </c>
      <c r="B53" s="277" t="s">
        <v>594</v>
      </c>
      <c r="C53" s="278" t="s">
        <v>8</v>
      </c>
      <c r="D53" s="279">
        <v>257.8</v>
      </c>
      <c r="E53" s="279">
        <v>35.034880000000001</v>
      </c>
      <c r="F53" s="283">
        <f t="shared" ref="F53:F84" si="6">E53*D53</f>
        <v>9031.992064</v>
      </c>
      <c r="G53" s="323"/>
      <c r="H53" s="397"/>
      <c r="I53" s="291"/>
      <c r="J53" s="283"/>
      <c r="K53" s="280"/>
      <c r="L53" s="280"/>
      <c r="M53" s="280"/>
      <c r="N53" s="338"/>
    </row>
    <row r="54" spans="1:27" ht="38.25">
      <c r="A54" s="278" t="s">
        <v>51</v>
      </c>
      <c r="B54" s="277" t="s">
        <v>595</v>
      </c>
      <c r="C54" s="278" t="s">
        <v>570</v>
      </c>
      <c r="D54" s="279">
        <v>295.43</v>
      </c>
      <c r="E54" s="279">
        <v>20.489850000000001</v>
      </c>
      <c r="F54" s="283">
        <f t="shared" si="6"/>
        <v>6053.3163855000003</v>
      </c>
      <c r="G54" s="323"/>
      <c r="H54" s="397"/>
      <c r="I54" s="291"/>
      <c r="J54" s="283"/>
      <c r="K54" s="280"/>
      <c r="L54" s="280"/>
      <c r="M54" s="280"/>
      <c r="N54" s="338"/>
    </row>
    <row r="55" spans="1:27" s="317" customFormat="1" ht="38.25">
      <c r="A55" s="278" t="s">
        <v>596</v>
      </c>
      <c r="B55" s="277" t="s">
        <v>597</v>
      </c>
      <c r="C55" s="278" t="s">
        <v>570</v>
      </c>
      <c r="D55" s="279">
        <v>567.63</v>
      </c>
      <c r="E55" s="279">
        <v>17.565799999999999</v>
      </c>
      <c r="F55" s="283">
        <f t="shared" si="6"/>
        <v>9970.8750540000001</v>
      </c>
      <c r="G55" s="323"/>
      <c r="H55" s="397"/>
      <c r="I55" s="291"/>
      <c r="J55" s="283"/>
      <c r="K55" s="287"/>
      <c r="L55" s="287"/>
      <c r="M55" s="287"/>
      <c r="N55" s="338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</row>
    <row r="56" spans="1:27" ht="38.25">
      <c r="A56" s="278" t="s">
        <v>598</v>
      </c>
      <c r="B56" s="277" t="s">
        <v>599</v>
      </c>
      <c r="C56" s="278" t="s">
        <v>570</v>
      </c>
      <c r="D56" s="279">
        <v>160.19999999999999</v>
      </c>
      <c r="E56" s="279">
        <v>14.932</v>
      </c>
      <c r="F56" s="283">
        <f t="shared" si="6"/>
        <v>2392.1063999999997</v>
      </c>
      <c r="G56" s="323"/>
      <c r="H56" s="397"/>
      <c r="I56" s="291"/>
      <c r="J56" s="283"/>
      <c r="K56" s="280"/>
      <c r="L56" s="290"/>
      <c r="M56" s="290"/>
      <c r="N56" s="338"/>
    </row>
    <row r="57" spans="1:27" ht="38.25">
      <c r="A57" s="278" t="s">
        <v>600</v>
      </c>
      <c r="B57" s="277" t="s">
        <v>601</v>
      </c>
      <c r="C57" s="278" t="s">
        <v>570</v>
      </c>
      <c r="D57" s="279">
        <v>400</v>
      </c>
      <c r="E57" s="279">
        <v>14.34075</v>
      </c>
      <c r="F57" s="283">
        <f t="shared" si="6"/>
        <v>5736.3</v>
      </c>
      <c r="G57" s="323"/>
      <c r="H57" s="397"/>
      <c r="I57" s="291"/>
      <c r="J57" s="283"/>
      <c r="K57" s="280"/>
      <c r="L57" s="290"/>
      <c r="M57" s="290"/>
      <c r="N57" s="338"/>
    </row>
    <row r="58" spans="1:27" s="317" customFormat="1" ht="38.25">
      <c r="A58" s="278" t="s">
        <v>602</v>
      </c>
      <c r="B58" s="277" t="s">
        <v>603</v>
      </c>
      <c r="C58" s="278" t="s">
        <v>570</v>
      </c>
      <c r="D58" s="279">
        <v>306.3</v>
      </c>
      <c r="E58" s="279">
        <v>15.9748</v>
      </c>
      <c r="F58" s="283">
        <f t="shared" si="6"/>
        <v>4893.0812400000004</v>
      </c>
      <c r="G58" s="323"/>
      <c r="H58" s="397"/>
      <c r="I58" s="291"/>
      <c r="J58" s="283"/>
      <c r="K58" s="280"/>
      <c r="L58" s="290"/>
      <c r="M58" s="290"/>
      <c r="N58" s="338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</row>
    <row r="59" spans="1:27" s="317" customFormat="1" ht="25.5">
      <c r="A59" s="278" t="s">
        <v>604</v>
      </c>
      <c r="B59" s="277" t="s">
        <v>605</v>
      </c>
      <c r="C59" s="278" t="s">
        <v>23</v>
      </c>
      <c r="D59" s="279">
        <v>13.42</v>
      </c>
      <c r="E59" s="279">
        <v>396.33800000000002</v>
      </c>
      <c r="F59" s="283">
        <f t="shared" si="6"/>
        <v>5318.8559599999999</v>
      </c>
      <c r="G59" s="323"/>
      <c r="H59" s="397"/>
      <c r="I59" s="291"/>
      <c r="J59" s="283"/>
      <c r="K59" s="280"/>
      <c r="L59" s="280"/>
      <c r="M59" s="280"/>
      <c r="N59" s="338"/>
      <c r="O59" s="316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  <c r="AA59" s="316"/>
    </row>
    <row r="60" spans="1:27" ht="25.5">
      <c r="A60" s="278" t="s">
        <v>606</v>
      </c>
      <c r="B60" s="277" t="s">
        <v>579</v>
      </c>
      <c r="C60" s="278" t="s">
        <v>23</v>
      </c>
      <c r="D60" s="279">
        <v>13.42</v>
      </c>
      <c r="E60" s="279">
        <v>153.95400000000001</v>
      </c>
      <c r="F60" s="283">
        <f t="shared" si="6"/>
        <v>2066.06268</v>
      </c>
      <c r="G60" s="323"/>
      <c r="H60" s="397"/>
      <c r="I60" s="291"/>
      <c r="J60" s="283"/>
      <c r="K60" s="280"/>
      <c r="L60" s="280"/>
      <c r="M60" s="280"/>
      <c r="N60" s="338"/>
    </row>
    <row r="61" spans="1:27">
      <c r="A61" s="284" t="s">
        <v>52</v>
      </c>
      <c r="B61" s="285" t="s">
        <v>607</v>
      </c>
      <c r="C61" s="284"/>
      <c r="D61" s="286"/>
      <c r="E61" s="388"/>
      <c r="F61" s="393">
        <f>SUM(F62:F71)+0.01</f>
        <v>41622.770968000004</v>
      </c>
      <c r="G61" s="323"/>
      <c r="H61" s="397"/>
      <c r="I61" s="291"/>
      <c r="J61" s="283"/>
      <c r="K61" s="287"/>
      <c r="L61" s="287"/>
      <c r="M61" s="287"/>
      <c r="N61" s="338"/>
    </row>
    <row r="62" spans="1:27" ht="38.25">
      <c r="A62" s="278" t="s">
        <v>54</v>
      </c>
      <c r="B62" s="277" t="s">
        <v>608</v>
      </c>
      <c r="C62" s="278" t="s">
        <v>8</v>
      </c>
      <c r="D62" s="279">
        <v>216.86</v>
      </c>
      <c r="E62" s="279">
        <v>51.439700000000002</v>
      </c>
      <c r="F62" s="283">
        <f t="shared" si="6"/>
        <v>11155.213342000001</v>
      </c>
      <c r="G62" s="323"/>
      <c r="H62" s="397"/>
      <c r="I62" s="291"/>
      <c r="J62" s="283"/>
      <c r="K62" s="280"/>
      <c r="L62" s="280"/>
      <c r="M62" s="280"/>
      <c r="N62" s="338"/>
    </row>
    <row r="63" spans="1:27" s="317" customFormat="1" ht="38.25">
      <c r="A63" s="278" t="s">
        <v>55</v>
      </c>
      <c r="B63" s="277" t="s">
        <v>595</v>
      </c>
      <c r="C63" s="278" t="s">
        <v>570</v>
      </c>
      <c r="D63" s="279">
        <v>233.7</v>
      </c>
      <c r="E63" s="279">
        <v>20.489850000000001</v>
      </c>
      <c r="F63" s="283">
        <f t="shared" si="6"/>
        <v>4788.4779449999996</v>
      </c>
      <c r="G63" s="323"/>
      <c r="H63" s="397"/>
      <c r="I63" s="291"/>
      <c r="J63" s="283"/>
      <c r="K63" s="288"/>
      <c r="L63" s="288"/>
      <c r="M63" s="288"/>
      <c r="N63" s="338"/>
      <c r="O63" s="316"/>
      <c r="P63" s="316"/>
      <c r="Q63" s="316"/>
      <c r="R63" s="316"/>
      <c r="S63" s="316"/>
      <c r="T63" s="316"/>
      <c r="U63" s="316"/>
      <c r="V63" s="316"/>
      <c r="W63" s="316"/>
      <c r="X63" s="316"/>
      <c r="Y63" s="316"/>
      <c r="Z63" s="316"/>
      <c r="AA63" s="316"/>
    </row>
    <row r="64" spans="1:27" s="317" customFormat="1" ht="38.25">
      <c r="A64" s="278" t="s">
        <v>609</v>
      </c>
      <c r="B64" s="277" t="s">
        <v>610</v>
      </c>
      <c r="C64" s="278" t="s">
        <v>570</v>
      </c>
      <c r="D64" s="279">
        <v>114.9</v>
      </c>
      <c r="E64" s="279">
        <v>19.3826</v>
      </c>
      <c r="F64" s="283">
        <f t="shared" si="6"/>
        <v>2227.0607399999999</v>
      </c>
      <c r="G64" s="323"/>
      <c r="H64" s="397"/>
      <c r="I64" s="291"/>
      <c r="J64" s="283"/>
      <c r="K64" s="287"/>
      <c r="L64" s="287"/>
      <c r="M64" s="287"/>
      <c r="N64" s="338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</row>
    <row r="65" spans="1:27" s="317" customFormat="1" ht="38.25">
      <c r="A65" s="278" t="s">
        <v>611</v>
      </c>
      <c r="B65" s="277" t="s">
        <v>612</v>
      </c>
      <c r="C65" s="278" t="s">
        <v>570</v>
      </c>
      <c r="D65" s="279">
        <v>118</v>
      </c>
      <c r="E65" s="279">
        <v>20.12435</v>
      </c>
      <c r="F65" s="283">
        <f t="shared" si="6"/>
        <v>2374.6732999999999</v>
      </c>
      <c r="G65" s="323"/>
      <c r="H65" s="397"/>
      <c r="I65" s="291"/>
      <c r="J65" s="283"/>
      <c r="K65" s="280"/>
      <c r="L65" s="280"/>
      <c r="M65" s="280"/>
      <c r="N65" s="338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  <c r="AA65" s="316"/>
    </row>
    <row r="66" spans="1:27" ht="38.25">
      <c r="A66" s="278" t="s">
        <v>613</v>
      </c>
      <c r="B66" s="277" t="s">
        <v>597</v>
      </c>
      <c r="C66" s="278" t="s">
        <v>570</v>
      </c>
      <c r="D66" s="279">
        <v>239.3</v>
      </c>
      <c r="E66" s="279">
        <v>17.565799999999999</v>
      </c>
      <c r="F66" s="283">
        <f t="shared" si="6"/>
        <v>4203.4959399999998</v>
      </c>
      <c r="G66" s="323"/>
      <c r="H66" s="397"/>
      <c r="I66" s="291"/>
      <c r="J66" s="283"/>
      <c r="K66" s="280"/>
      <c r="L66" s="280"/>
      <c r="M66" s="280"/>
      <c r="N66" s="338"/>
    </row>
    <row r="67" spans="1:27" s="317" customFormat="1" ht="38.25">
      <c r="A67" s="278" t="s">
        <v>614</v>
      </c>
      <c r="B67" s="277" t="s">
        <v>599</v>
      </c>
      <c r="C67" s="278" t="s">
        <v>570</v>
      </c>
      <c r="D67" s="279">
        <v>176.8</v>
      </c>
      <c r="E67" s="279">
        <v>14.932</v>
      </c>
      <c r="F67" s="283">
        <f t="shared" si="6"/>
        <v>2639.9776000000002</v>
      </c>
      <c r="G67" s="323"/>
      <c r="H67" s="397"/>
      <c r="I67" s="291"/>
      <c r="J67" s="283"/>
      <c r="K67" s="315"/>
      <c r="L67" s="280"/>
      <c r="M67" s="306"/>
      <c r="N67" s="338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</row>
    <row r="68" spans="1:27" ht="38.25">
      <c r="A68" s="278" t="s">
        <v>615</v>
      </c>
      <c r="B68" s="277" t="s">
        <v>601</v>
      </c>
      <c r="C68" s="278" t="s">
        <v>570</v>
      </c>
      <c r="D68" s="279">
        <v>100.4</v>
      </c>
      <c r="E68" s="279">
        <v>14.3407</v>
      </c>
      <c r="F68" s="283">
        <f t="shared" si="6"/>
        <v>1439.80628</v>
      </c>
      <c r="G68" s="323"/>
      <c r="H68" s="397"/>
      <c r="I68" s="291"/>
      <c r="J68" s="283"/>
      <c r="K68" s="307"/>
      <c r="L68" s="307"/>
      <c r="M68" s="307"/>
      <c r="N68" s="338"/>
    </row>
    <row r="69" spans="1:27" ht="25.5">
      <c r="A69" s="278" t="s">
        <v>616</v>
      </c>
      <c r="B69" s="277" t="s">
        <v>605</v>
      </c>
      <c r="C69" s="278" t="s">
        <v>23</v>
      </c>
      <c r="D69" s="279">
        <v>11.62</v>
      </c>
      <c r="E69" s="279">
        <v>396.33800000000002</v>
      </c>
      <c r="F69" s="283">
        <f t="shared" si="6"/>
        <v>4605.4475599999996</v>
      </c>
      <c r="G69" s="323"/>
      <c r="H69" s="397"/>
      <c r="I69" s="291"/>
      <c r="J69" s="283"/>
      <c r="K69" s="280"/>
      <c r="L69" s="280"/>
      <c r="M69" s="280"/>
      <c r="N69" s="338"/>
    </row>
    <row r="70" spans="1:27" ht="25.5">
      <c r="A70" s="278" t="s">
        <v>617</v>
      </c>
      <c r="B70" s="277" t="s">
        <v>579</v>
      </c>
      <c r="C70" s="278" t="s">
        <v>23</v>
      </c>
      <c r="D70" s="279">
        <v>11.62</v>
      </c>
      <c r="E70" s="279">
        <v>153.95349999999999</v>
      </c>
      <c r="F70" s="283">
        <f t="shared" si="6"/>
        <v>1788.9396699999998</v>
      </c>
      <c r="G70" s="323"/>
      <c r="H70" s="397"/>
      <c r="I70" s="291"/>
      <c r="J70" s="283"/>
      <c r="K70" s="280"/>
      <c r="L70" s="280"/>
      <c r="M70" s="280"/>
      <c r="N70" s="338"/>
    </row>
    <row r="71" spans="1:27" ht="25.5">
      <c r="A71" s="278" t="s">
        <v>618</v>
      </c>
      <c r="B71" s="277" t="s">
        <v>619</v>
      </c>
      <c r="C71" s="278" t="s">
        <v>105</v>
      </c>
      <c r="D71" s="279">
        <v>182.89</v>
      </c>
      <c r="E71" s="279">
        <v>34.991900000000001</v>
      </c>
      <c r="F71" s="283">
        <f t="shared" si="6"/>
        <v>6399.6685909999997</v>
      </c>
      <c r="G71" s="323"/>
      <c r="H71" s="397"/>
      <c r="I71" s="291"/>
      <c r="J71" s="283"/>
      <c r="K71" s="280"/>
      <c r="L71" s="280"/>
      <c r="M71" s="280"/>
      <c r="N71" s="338"/>
    </row>
    <row r="72" spans="1:27">
      <c r="A72" s="284" t="s">
        <v>56</v>
      </c>
      <c r="B72" s="285" t="s">
        <v>620</v>
      </c>
      <c r="C72" s="284"/>
      <c r="D72" s="286"/>
      <c r="E72" s="388"/>
      <c r="F72" s="393">
        <f>SUM(F73:F79)+0.02</f>
        <v>62677.392926</v>
      </c>
      <c r="G72" s="323"/>
      <c r="H72" s="397"/>
      <c r="I72" s="291"/>
      <c r="J72" s="283"/>
      <c r="K72" s="280"/>
      <c r="L72" s="280"/>
      <c r="M72" s="280"/>
      <c r="N72" s="338"/>
    </row>
    <row r="73" spans="1:27" ht="38.25">
      <c r="A73" s="278" t="s">
        <v>58</v>
      </c>
      <c r="B73" s="277" t="s">
        <v>621</v>
      </c>
      <c r="C73" s="278" t="s">
        <v>8</v>
      </c>
      <c r="D73" s="279">
        <v>113.89</v>
      </c>
      <c r="E73" s="279">
        <v>20.769300000000001</v>
      </c>
      <c r="F73" s="283">
        <f t="shared" si="6"/>
        <v>2365.4155770000002</v>
      </c>
      <c r="G73" s="323"/>
      <c r="H73" s="397"/>
      <c r="I73" s="291"/>
      <c r="J73" s="283"/>
      <c r="K73" s="280"/>
      <c r="L73" s="280"/>
      <c r="M73" s="280"/>
      <c r="N73" s="338"/>
    </row>
    <row r="74" spans="1:27" ht="38.25">
      <c r="A74" s="278" t="s">
        <v>622</v>
      </c>
      <c r="B74" s="281" t="s">
        <v>623</v>
      </c>
      <c r="C74" s="278" t="s">
        <v>570</v>
      </c>
      <c r="D74" s="279">
        <v>3.3</v>
      </c>
      <c r="E74" s="279">
        <v>18.373999999999999</v>
      </c>
      <c r="F74" s="283">
        <f t="shared" si="6"/>
        <v>60.634199999999993</v>
      </c>
      <c r="G74" s="323"/>
      <c r="H74" s="397"/>
      <c r="I74" s="291"/>
      <c r="J74" s="283"/>
      <c r="K74" s="280"/>
      <c r="L74" s="280"/>
      <c r="M74" s="280"/>
      <c r="N74" s="338"/>
    </row>
    <row r="75" spans="1:27" ht="38.25">
      <c r="A75" s="278" t="s">
        <v>624</v>
      </c>
      <c r="B75" s="281" t="s">
        <v>625</v>
      </c>
      <c r="C75" s="278" t="s">
        <v>570</v>
      </c>
      <c r="D75" s="279">
        <v>922.6</v>
      </c>
      <c r="E75" s="279">
        <v>16.759550000000001</v>
      </c>
      <c r="F75" s="283">
        <f t="shared" si="6"/>
        <v>15462.360830000001</v>
      </c>
      <c r="G75" s="323"/>
      <c r="H75" s="397"/>
      <c r="I75" s="291"/>
      <c r="J75" s="283"/>
      <c r="K75" s="280"/>
      <c r="L75" s="280"/>
      <c r="M75" s="280"/>
      <c r="N75" s="338"/>
    </row>
    <row r="76" spans="1:27" ht="38.25">
      <c r="A76" s="278" t="s">
        <v>626</v>
      </c>
      <c r="B76" s="281" t="s">
        <v>627</v>
      </c>
      <c r="C76" s="278" t="s">
        <v>570</v>
      </c>
      <c r="D76" s="279">
        <v>159.30000000000001</v>
      </c>
      <c r="E76" s="279">
        <v>14.297750000000001</v>
      </c>
      <c r="F76" s="283">
        <f t="shared" si="6"/>
        <v>2277.6315750000003</v>
      </c>
      <c r="G76" s="323"/>
      <c r="H76" s="397"/>
      <c r="I76" s="291"/>
      <c r="J76" s="283"/>
      <c r="K76" s="280"/>
      <c r="L76" s="280"/>
      <c r="M76" s="280"/>
      <c r="N76" s="338"/>
    </row>
    <row r="77" spans="1:27" ht="25.5">
      <c r="A77" s="278" t="s">
        <v>628</v>
      </c>
      <c r="B77" s="277" t="s">
        <v>605</v>
      </c>
      <c r="C77" s="278" t="s">
        <v>23</v>
      </c>
      <c r="D77" s="279">
        <v>28.04</v>
      </c>
      <c r="E77" s="279">
        <v>396.33800000000002</v>
      </c>
      <c r="F77" s="283">
        <f t="shared" si="6"/>
        <v>11113.317520000001</v>
      </c>
      <c r="G77" s="323"/>
      <c r="H77" s="397"/>
      <c r="I77" s="291"/>
      <c r="J77" s="283"/>
      <c r="K77" s="280"/>
      <c r="L77" s="280"/>
      <c r="M77" s="280"/>
      <c r="N77" s="338"/>
    </row>
    <row r="78" spans="1:27" ht="25.5">
      <c r="A78" s="278" t="s">
        <v>629</v>
      </c>
      <c r="B78" s="277" t="s">
        <v>579</v>
      </c>
      <c r="C78" s="278" t="s">
        <v>23</v>
      </c>
      <c r="D78" s="279">
        <v>28.04</v>
      </c>
      <c r="E78" s="279">
        <v>153.95349999999999</v>
      </c>
      <c r="F78" s="283">
        <f t="shared" si="6"/>
        <v>4316.8561399999999</v>
      </c>
      <c r="G78" s="323"/>
      <c r="H78" s="397"/>
      <c r="I78" s="291"/>
      <c r="J78" s="283"/>
      <c r="K78" s="280"/>
      <c r="L78" s="280"/>
      <c r="M78" s="280"/>
      <c r="N78" s="338"/>
    </row>
    <row r="79" spans="1:27" ht="38.25">
      <c r="A79" s="278" t="s">
        <v>630</v>
      </c>
      <c r="B79" s="277" t="s">
        <v>631</v>
      </c>
      <c r="C79" s="278" t="s">
        <v>8</v>
      </c>
      <c r="D79" s="279">
        <v>345.56</v>
      </c>
      <c r="E79" s="279">
        <v>78.368899999999996</v>
      </c>
      <c r="F79" s="283">
        <f t="shared" si="6"/>
        <v>27081.157083999999</v>
      </c>
      <c r="G79" s="323"/>
      <c r="H79" s="397"/>
      <c r="I79" s="291"/>
      <c r="J79" s="283"/>
      <c r="K79" s="280"/>
      <c r="L79" s="280"/>
      <c r="M79" s="280"/>
      <c r="N79" s="338"/>
    </row>
    <row r="80" spans="1:27">
      <c r="A80" s="284" t="s">
        <v>632</v>
      </c>
      <c r="B80" s="285" t="s">
        <v>633</v>
      </c>
      <c r="C80" s="284"/>
      <c r="D80" s="286"/>
      <c r="E80" s="388"/>
      <c r="F80" s="393">
        <f>SUM(F81:F84)</f>
        <v>7629.2276000000002</v>
      </c>
      <c r="G80" s="323"/>
      <c r="H80" s="397"/>
      <c r="I80" s="291"/>
      <c r="J80" s="283"/>
      <c r="K80" s="280"/>
      <c r="L80" s="280"/>
      <c r="M80" s="280"/>
      <c r="N80" s="338"/>
    </row>
    <row r="81" spans="1:27">
      <c r="A81" s="278" t="s">
        <v>634</v>
      </c>
      <c r="B81" s="277" t="s">
        <v>635</v>
      </c>
      <c r="C81" s="278" t="s">
        <v>105</v>
      </c>
      <c r="D81" s="279">
        <v>68.5</v>
      </c>
      <c r="E81" s="279">
        <v>44.204799999999999</v>
      </c>
      <c r="F81" s="283">
        <f t="shared" si="6"/>
        <v>3028.0288</v>
      </c>
      <c r="G81" s="323"/>
      <c r="H81" s="397"/>
      <c r="I81" s="291"/>
      <c r="J81" s="283"/>
      <c r="K81" s="280"/>
      <c r="L81" s="280"/>
      <c r="M81" s="280"/>
      <c r="N81" s="338"/>
    </row>
    <row r="82" spans="1:27" ht="25.5">
      <c r="A82" s="278" t="s">
        <v>636</v>
      </c>
      <c r="B82" s="277" t="s">
        <v>637</v>
      </c>
      <c r="C82" s="278" t="s">
        <v>105</v>
      </c>
      <c r="D82" s="279">
        <v>36.6</v>
      </c>
      <c r="E82" s="279">
        <v>32.186</v>
      </c>
      <c r="F82" s="283">
        <f t="shared" si="6"/>
        <v>1178.0076000000001</v>
      </c>
      <c r="G82" s="323"/>
      <c r="H82" s="397"/>
      <c r="I82" s="291"/>
      <c r="J82" s="283"/>
      <c r="K82" s="280"/>
      <c r="L82" s="280"/>
      <c r="M82" s="280"/>
      <c r="N82" s="338"/>
    </row>
    <row r="83" spans="1:27" ht="25.5">
      <c r="A83" s="278" t="s">
        <v>638</v>
      </c>
      <c r="B83" s="277" t="s">
        <v>639</v>
      </c>
      <c r="C83" s="278" t="s">
        <v>105</v>
      </c>
      <c r="D83" s="279">
        <v>68.5</v>
      </c>
      <c r="E83" s="279">
        <v>43.3232</v>
      </c>
      <c r="F83" s="283">
        <f t="shared" si="6"/>
        <v>2967.6392000000001</v>
      </c>
      <c r="G83" s="323"/>
      <c r="H83" s="397"/>
      <c r="I83" s="291"/>
      <c r="J83" s="283"/>
      <c r="K83" s="280"/>
      <c r="L83" s="280"/>
      <c r="M83" s="280"/>
      <c r="N83" s="338"/>
    </row>
    <row r="84" spans="1:27" ht="25.5">
      <c r="A84" s="278" t="s">
        <v>640</v>
      </c>
      <c r="B84" s="277" t="s">
        <v>641</v>
      </c>
      <c r="C84" s="278" t="s">
        <v>105</v>
      </c>
      <c r="D84" s="279">
        <v>8</v>
      </c>
      <c r="E84" s="279">
        <v>56.944000000000003</v>
      </c>
      <c r="F84" s="283">
        <f t="shared" si="6"/>
        <v>455.55200000000002</v>
      </c>
      <c r="G84" s="323"/>
      <c r="H84" s="397"/>
      <c r="I84" s="291"/>
      <c r="J84" s="283"/>
      <c r="K84" s="280"/>
      <c r="L84" s="280"/>
      <c r="M84" s="280"/>
      <c r="N84" s="338"/>
    </row>
    <row r="85" spans="1:27">
      <c r="A85" s="516"/>
      <c r="B85" s="517"/>
      <c r="C85" s="517"/>
      <c r="D85" s="517"/>
      <c r="E85" s="517"/>
      <c r="F85" s="517"/>
      <c r="G85" s="517"/>
      <c r="H85" s="517"/>
      <c r="I85" s="517"/>
      <c r="J85" s="517"/>
      <c r="K85" s="517"/>
      <c r="L85" s="517"/>
      <c r="M85" s="518"/>
      <c r="N85" s="338"/>
    </row>
    <row r="86" spans="1:27" s="297" customFormat="1">
      <c r="A86" s="295" t="s">
        <v>642</v>
      </c>
      <c r="B86" s="519" t="s">
        <v>643</v>
      </c>
      <c r="C86" s="520"/>
      <c r="D86" s="520"/>
      <c r="E86" s="521"/>
      <c r="F86" s="300">
        <f>SUM(F87)</f>
        <v>42616.161815999993</v>
      </c>
      <c r="G86" s="322"/>
      <c r="H86" s="326"/>
      <c r="I86" s="310"/>
      <c r="J86" s="309"/>
      <c r="K86" s="298"/>
      <c r="L86" s="298">
        <f>SUM(L87:L88)</f>
        <v>0</v>
      </c>
      <c r="M86" s="298"/>
      <c r="N86" s="338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</row>
    <row r="87" spans="1:27" ht="51">
      <c r="A87" s="278" t="s">
        <v>644</v>
      </c>
      <c r="B87" s="281" t="s">
        <v>645</v>
      </c>
      <c r="C87" s="278" t="s">
        <v>8</v>
      </c>
      <c r="D87" s="279">
        <v>976.65</v>
      </c>
      <c r="E87" s="279">
        <v>43.635039999999996</v>
      </c>
      <c r="F87" s="283">
        <f>E87*D87</f>
        <v>42616.161815999993</v>
      </c>
      <c r="G87" s="323"/>
      <c r="H87" s="397"/>
      <c r="I87" s="291"/>
      <c r="J87" s="283"/>
      <c r="K87" s="280"/>
      <c r="L87" s="280"/>
      <c r="M87" s="280"/>
      <c r="N87" s="338"/>
    </row>
    <row r="88" spans="1:27">
      <c r="A88" s="516"/>
      <c r="B88" s="517"/>
      <c r="C88" s="517"/>
      <c r="D88" s="517"/>
      <c r="E88" s="517"/>
      <c r="F88" s="517"/>
      <c r="G88" s="517"/>
      <c r="H88" s="517"/>
      <c r="I88" s="517"/>
      <c r="J88" s="517"/>
      <c r="K88" s="517"/>
      <c r="L88" s="517"/>
      <c r="M88" s="518"/>
      <c r="N88" s="338"/>
    </row>
    <row r="89" spans="1:27" s="297" customFormat="1">
      <c r="A89" s="295" t="s">
        <v>546</v>
      </c>
      <c r="B89" s="519" t="s">
        <v>70</v>
      </c>
      <c r="C89" s="520"/>
      <c r="D89" s="520"/>
      <c r="E89" s="521"/>
      <c r="F89" s="300">
        <f>SUM(F90,F95,F98)+0.01</f>
        <v>61182.364652000004</v>
      </c>
      <c r="G89" s="322"/>
      <c r="H89" s="326"/>
      <c r="I89" s="310"/>
      <c r="J89" s="309"/>
      <c r="K89" s="298"/>
      <c r="L89" s="298">
        <f>SUM(L90:L100)</f>
        <v>0</v>
      </c>
      <c r="M89" s="298"/>
      <c r="N89" s="338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</row>
    <row r="90" spans="1:27">
      <c r="A90" s="284" t="s">
        <v>71</v>
      </c>
      <c r="B90" s="285" t="s">
        <v>646</v>
      </c>
      <c r="C90" s="284"/>
      <c r="D90" s="286"/>
      <c r="E90" s="388"/>
      <c r="F90" s="394">
        <f>SUM(F91:F94)+0.01</f>
        <v>36105.598483000002</v>
      </c>
      <c r="G90" s="323"/>
      <c r="H90" s="327"/>
      <c r="I90" s="291"/>
      <c r="J90" s="308"/>
      <c r="K90" s="280"/>
      <c r="L90" s="280"/>
      <c r="M90" s="280"/>
      <c r="N90" s="338"/>
    </row>
    <row r="91" spans="1:27" ht="25.5">
      <c r="A91" s="278" t="s">
        <v>647</v>
      </c>
      <c r="B91" s="281" t="s">
        <v>648</v>
      </c>
      <c r="C91" s="278" t="s">
        <v>8</v>
      </c>
      <c r="D91" s="279">
        <v>9.24</v>
      </c>
      <c r="E91" s="279">
        <v>365.47399999999999</v>
      </c>
      <c r="F91" s="283">
        <f t="shared" ref="F91:F99" si="7">E91*D91</f>
        <v>3376.9797600000002</v>
      </c>
      <c r="G91" s="323"/>
      <c r="H91" s="397"/>
      <c r="I91" s="291"/>
      <c r="J91" s="283"/>
      <c r="K91" s="280"/>
      <c r="L91" s="280"/>
      <c r="M91" s="280"/>
      <c r="N91" s="338"/>
    </row>
    <row r="92" spans="1:27" ht="51">
      <c r="A92" s="278" t="s">
        <v>649</v>
      </c>
      <c r="B92" s="281" t="s">
        <v>650</v>
      </c>
      <c r="C92" s="278" t="s">
        <v>8</v>
      </c>
      <c r="D92" s="279">
        <v>340.05</v>
      </c>
      <c r="E92" s="279">
        <v>19.877109999999998</v>
      </c>
      <c r="F92" s="283">
        <f t="shared" si="7"/>
        <v>6759.2112554999994</v>
      </c>
      <c r="G92" s="323"/>
      <c r="H92" s="397"/>
      <c r="I92" s="291"/>
      <c r="J92" s="283"/>
      <c r="K92" s="280"/>
      <c r="L92" s="280"/>
      <c r="M92" s="280"/>
      <c r="N92" s="338"/>
    </row>
    <row r="93" spans="1:27" ht="38.25">
      <c r="A93" s="278" t="s">
        <v>651</v>
      </c>
      <c r="B93" s="277" t="s">
        <v>652</v>
      </c>
      <c r="C93" s="278" t="s">
        <v>8</v>
      </c>
      <c r="D93" s="279">
        <v>340.05</v>
      </c>
      <c r="E93" s="279">
        <v>14.85675</v>
      </c>
      <c r="F93" s="283">
        <f t="shared" si="7"/>
        <v>5052.0378375</v>
      </c>
      <c r="G93" s="323"/>
      <c r="H93" s="397"/>
      <c r="I93" s="291"/>
      <c r="J93" s="283"/>
      <c r="K93" s="280"/>
      <c r="L93" s="280"/>
      <c r="M93" s="280"/>
      <c r="N93" s="338"/>
    </row>
    <row r="94" spans="1:27" ht="38.25">
      <c r="A94" s="278" t="s">
        <v>653</v>
      </c>
      <c r="B94" s="277" t="s">
        <v>654</v>
      </c>
      <c r="C94" s="278" t="s">
        <v>8</v>
      </c>
      <c r="D94" s="279">
        <v>340.05</v>
      </c>
      <c r="E94" s="279">
        <v>61.512599999999999</v>
      </c>
      <c r="F94" s="283">
        <f t="shared" si="7"/>
        <v>20917.359629999999</v>
      </c>
      <c r="G94" s="323"/>
      <c r="H94" s="397"/>
      <c r="I94" s="291"/>
      <c r="J94" s="283"/>
      <c r="K94" s="280"/>
      <c r="L94" s="280"/>
      <c r="M94" s="280"/>
      <c r="N94" s="338"/>
    </row>
    <row r="95" spans="1:27">
      <c r="A95" s="284" t="s">
        <v>73</v>
      </c>
      <c r="B95" s="285" t="s">
        <v>655</v>
      </c>
      <c r="C95" s="284"/>
      <c r="D95" s="286"/>
      <c r="E95" s="388"/>
      <c r="F95" s="393">
        <f>SUM(F96:F97)-0.01</f>
        <v>12505.331349999999</v>
      </c>
      <c r="G95" s="323"/>
      <c r="H95" s="397"/>
      <c r="I95" s="291"/>
      <c r="J95" s="283"/>
      <c r="K95" s="280"/>
      <c r="L95" s="280"/>
      <c r="M95" s="280"/>
      <c r="N95" s="338"/>
    </row>
    <row r="96" spans="1:27" ht="25.5">
      <c r="A96" s="278" t="s">
        <v>656</v>
      </c>
      <c r="B96" s="281" t="s">
        <v>657</v>
      </c>
      <c r="C96" s="278" t="s">
        <v>105</v>
      </c>
      <c r="D96" s="279">
        <v>135.9</v>
      </c>
      <c r="E96" s="279">
        <v>53.869250000000001</v>
      </c>
      <c r="F96" s="283">
        <f t="shared" si="7"/>
        <v>7320.8310750000001</v>
      </c>
      <c r="G96" s="323"/>
      <c r="H96" s="397"/>
      <c r="I96" s="291"/>
      <c r="J96" s="283"/>
      <c r="K96" s="280"/>
      <c r="L96" s="280"/>
      <c r="M96" s="280"/>
      <c r="N96" s="338"/>
    </row>
    <row r="97" spans="1:27" ht="25.5">
      <c r="A97" s="278" t="s">
        <v>658</v>
      </c>
      <c r="B97" s="277" t="s">
        <v>659</v>
      </c>
      <c r="C97" s="278" t="s">
        <v>105</v>
      </c>
      <c r="D97" s="279">
        <v>78.05</v>
      </c>
      <c r="E97" s="279">
        <v>66.4255</v>
      </c>
      <c r="F97" s="283">
        <f t="shared" si="7"/>
        <v>5184.5102749999996</v>
      </c>
      <c r="G97" s="323"/>
      <c r="H97" s="397"/>
      <c r="I97" s="291"/>
      <c r="J97" s="283"/>
      <c r="K97" s="280"/>
      <c r="L97" s="280"/>
      <c r="M97" s="280"/>
      <c r="N97" s="338"/>
    </row>
    <row r="98" spans="1:27">
      <c r="A98" s="284" t="s">
        <v>548</v>
      </c>
      <c r="B98" s="285" t="s">
        <v>660</v>
      </c>
      <c r="C98" s="284"/>
      <c r="D98" s="286"/>
      <c r="E98" s="388"/>
      <c r="F98" s="393">
        <f>F99</f>
        <v>12571.424819</v>
      </c>
      <c r="G98" s="323"/>
      <c r="H98" s="397"/>
      <c r="I98" s="291"/>
      <c r="J98" s="283"/>
      <c r="K98" s="280"/>
      <c r="L98" s="280"/>
      <c r="M98" s="280"/>
      <c r="N98" s="338"/>
    </row>
    <row r="99" spans="1:27" ht="25.5">
      <c r="A99" s="278" t="s">
        <v>661</v>
      </c>
      <c r="B99" s="281" t="s">
        <v>662</v>
      </c>
      <c r="C99" s="278" t="s">
        <v>8</v>
      </c>
      <c r="D99" s="279">
        <v>383.54</v>
      </c>
      <c r="E99" s="279">
        <v>32.777349999999998</v>
      </c>
      <c r="F99" s="283">
        <f t="shared" si="7"/>
        <v>12571.424819</v>
      </c>
      <c r="G99" s="323"/>
      <c r="H99" s="397"/>
      <c r="I99" s="291"/>
      <c r="J99" s="283"/>
      <c r="K99" s="280"/>
      <c r="L99" s="280"/>
      <c r="M99" s="280"/>
      <c r="N99" s="338"/>
    </row>
    <row r="100" spans="1:27">
      <c r="A100" s="516"/>
      <c r="B100" s="517"/>
      <c r="C100" s="517"/>
      <c r="D100" s="517"/>
      <c r="E100" s="517"/>
      <c r="F100" s="517"/>
      <c r="G100" s="517"/>
      <c r="H100" s="517"/>
      <c r="I100" s="517"/>
      <c r="J100" s="517"/>
      <c r="K100" s="517"/>
      <c r="L100" s="517"/>
      <c r="M100" s="518"/>
      <c r="N100" s="338"/>
    </row>
    <row r="101" spans="1:27" s="428" customFormat="1">
      <c r="A101" s="295" t="s">
        <v>549</v>
      </c>
      <c r="B101" s="519" t="s">
        <v>663</v>
      </c>
      <c r="C101" s="520"/>
      <c r="D101" s="520"/>
      <c r="E101" s="521"/>
      <c r="F101" s="300">
        <f>SUM(F102:F103)+0.01</f>
        <v>8449.6111304999995</v>
      </c>
      <c r="G101" s="423"/>
      <c r="H101" s="424"/>
      <c r="I101" s="422"/>
      <c r="J101" s="425"/>
      <c r="K101" s="426">
        <f>K102</f>
        <v>545.92452749999984</v>
      </c>
      <c r="L101" s="411">
        <f>L102</f>
        <v>1163.7703769999998</v>
      </c>
      <c r="M101" s="411">
        <f>M102</f>
        <v>1709.6949044999997</v>
      </c>
      <c r="N101" s="420"/>
      <c r="O101" s="427"/>
      <c r="P101" s="427"/>
      <c r="Q101" s="427"/>
      <c r="R101" s="427"/>
      <c r="S101" s="427"/>
      <c r="T101" s="427"/>
      <c r="U101" s="427"/>
      <c r="V101" s="427"/>
      <c r="W101" s="427"/>
      <c r="X101" s="427"/>
      <c r="Y101" s="427"/>
      <c r="Z101" s="427"/>
      <c r="AA101" s="427"/>
    </row>
    <row r="102" spans="1:27" ht="25.5">
      <c r="A102" s="278" t="s">
        <v>76</v>
      </c>
      <c r="B102" s="277" t="s">
        <v>905</v>
      </c>
      <c r="C102" s="278" t="s">
        <v>8</v>
      </c>
      <c r="D102" s="279">
        <v>401.27</v>
      </c>
      <c r="E102" s="279">
        <v>8.6861499999999996</v>
      </c>
      <c r="F102" s="283">
        <f>E102*D102</f>
        <v>3485.4914104999998</v>
      </c>
      <c r="G102" s="323">
        <f>'MEMÓRIA DE CÁLCULO'!R207</f>
        <v>62.849999999999987</v>
      </c>
      <c r="H102" s="397">
        <v>133.97999999999999</v>
      </c>
      <c r="I102" s="421">
        <f>G102+H102</f>
        <v>196.82999999999998</v>
      </c>
      <c r="J102" s="283"/>
      <c r="K102" s="280">
        <f>E102*G102</f>
        <v>545.92452749999984</v>
      </c>
      <c r="L102" s="410">
        <f>E102*H102</f>
        <v>1163.7703769999998</v>
      </c>
      <c r="M102" s="410">
        <f>K102+L102</f>
        <v>1709.6949044999997</v>
      </c>
      <c r="N102" s="338"/>
    </row>
    <row r="103" spans="1:27" ht="25.5">
      <c r="A103" s="278" t="s">
        <v>79</v>
      </c>
      <c r="B103" s="277" t="s">
        <v>664</v>
      </c>
      <c r="C103" s="278" t="s">
        <v>8</v>
      </c>
      <c r="D103" s="279">
        <v>61.8</v>
      </c>
      <c r="E103" s="279">
        <v>80.325400000000002</v>
      </c>
      <c r="F103" s="283">
        <f>E103*D103</f>
        <v>4964.1097199999995</v>
      </c>
      <c r="G103" s="323"/>
      <c r="H103" s="397"/>
      <c r="I103" s="291"/>
      <c r="J103" s="283"/>
      <c r="K103" s="280"/>
      <c r="L103" s="280"/>
      <c r="M103" s="280"/>
      <c r="N103" s="338"/>
    </row>
    <row r="104" spans="1:27">
      <c r="A104" s="516"/>
      <c r="B104" s="517"/>
      <c r="C104" s="517"/>
      <c r="D104" s="517"/>
      <c r="E104" s="517"/>
      <c r="F104" s="517"/>
      <c r="G104" s="517"/>
      <c r="H104" s="517"/>
      <c r="I104" s="517"/>
      <c r="J104" s="517"/>
      <c r="K104" s="517"/>
      <c r="L104" s="517"/>
      <c r="M104" s="518"/>
      <c r="N104" s="338"/>
    </row>
    <row r="105" spans="1:27" s="297" customFormat="1">
      <c r="A105" s="295" t="s">
        <v>550</v>
      </c>
      <c r="B105" s="519" t="s">
        <v>75</v>
      </c>
      <c r="C105" s="520"/>
      <c r="D105" s="520"/>
      <c r="E105" s="521"/>
      <c r="F105" s="300">
        <f>SUM(F106,F115)</f>
        <v>64275.949280000001</v>
      </c>
      <c r="G105" s="322"/>
      <c r="H105" s="326"/>
      <c r="I105" s="310"/>
      <c r="J105" s="309"/>
      <c r="K105" s="298"/>
      <c r="L105" s="298">
        <f>SUM(L106:L118)</f>
        <v>0</v>
      </c>
      <c r="M105" s="298"/>
      <c r="N105" s="338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</row>
    <row r="106" spans="1:27">
      <c r="A106" s="284" t="s">
        <v>86</v>
      </c>
      <c r="B106" s="285" t="s">
        <v>665</v>
      </c>
      <c r="C106" s="284"/>
      <c r="D106" s="286"/>
      <c r="E106" s="388"/>
      <c r="F106" s="394">
        <f>SUM(F107:F114)-0.01</f>
        <v>37579.457119999999</v>
      </c>
      <c r="G106" s="323"/>
      <c r="H106" s="327"/>
      <c r="I106" s="291"/>
      <c r="J106" s="308"/>
      <c r="K106" s="280"/>
      <c r="L106" s="280"/>
      <c r="M106" s="280"/>
      <c r="N106" s="338"/>
    </row>
    <row r="107" spans="1:27" ht="25.5">
      <c r="A107" s="278" t="s">
        <v>666</v>
      </c>
      <c r="B107" s="281" t="s">
        <v>667</v>
      </c>
      <c r="C107" s="278" t="s">
        <v>8</v>
      </c>
      <c r="D107" s="279">
        <v>8.19</v>
      </c>
      <c r="E107" s="279">
        <v>598.07600000000002</v>
      </c>
      <c r="F107" s="283">
        <f t="shared" ref="F107:F117" si="8">E107*D107</f>
        <v>4898.24244</v>
      </c>
      <c r="G107" s="323"/>
      <c r="H107" s="397"/>
      <c r="I107" s="291"/>
      <c r="J107" s="283"/>
      <c r="K107" s="280"/>
      <c r="L107" s="280"/>
      <c r="M107" s="280"/>
      <c r="N107" s="338"/>
    </row>
    <row r="108" spans="1:27" ht="25.5">
      <c r="A108" s="278" t="s">
        <v>668</v>
      </c>
      <c r="B108" s="281" t="s">
        <v>669</v>
      </c>
      <c r="C108" s="278" t="s">
        <v>8</v>
      </c>
      <c r="D108" s="279">
        <v>11.34</v>
      </c>
      <c r="E108" s="279">
        <v>504.09800000000001</v>
      </c>
      <c r="F108" s="283">
        <f t="shared" si="8"/>
        <v>5716.4713199999997</v>
      </c>
      <c r="G108" s="323"/>
      <c r="H108" s="397"/>
      <c r="I108" s="291"/>
      <c r="J108" s="283"/>
      <c r="K108" s="280"/>
      <c r="L108" s="280"/>
      <c r="M108" s="280"/>
      <c r="N108" s="338"/>
    </row>
    <row r="109" spans="1:27" ht="25.5">
      <c r="A109" s="278" t="s">
        <v>670</v>
      </c>
      <c r="B109" s="281" t="s">
        <v>671</v>
      </c>
      <c r="C109" s="278" t="s">
        <v>8</v>
      </c>
      <c r="D109" s="279">
        <v>6.12</v>
      </c>
      <c r="E109" s="279">
        <v>426.428</v>
      </c>
      <c r="F109" s="283">
        <f t="shared" si="8"/>
        <v>2609.73936</v>
      </c>
      <c r="G109" s="323"/>
      <c r="H109" s="397"/>
      <c r="I109" s="291"/>
      <c r="J109" s="283"/>
      <c r="K109" s="280"/>
      <c r="L109" s="280"/>
      <c r="M109" s="280"/>
      <c r="N109" s="338"/>
    </row>
    <row r="110" spans="1:27" ht="51">
      <c r="A110" s="278" t="s">
        <v>672</v>
      </c>
      <c r="B110" s="281" t="s">
        <v>673</v>
      </c>
      <c r="C110" s="278" t="s">
        <v>78</v>
      </c>
      <c r="D110" s="279">
        <v>4</v>
      </c>
      <c r="E110" s="279">
        <v>762.85599999999999</v>
      </c>
      <c r="F110" s="283">
        <f t="shared" si="8"/>
        <v>3051.424</v>
      </c>
      <c r="G110" s="323"/>
      <c r="H110" s="397"/>
      <c r="I110" s="291"/>
      <c r="J110" s="283"/>
      <c r="K110" s="280"/>
      <c r="L110" s="280"/>
      <c r="M110" s="280"/>
      <c r="N110" s="338"/>
    </row>
    <row r="111" spans="1:27" ht="51">
      <c r="A111" s="278" t="s">
        <v>674</v>
      </c>
      <c r="B111" s="281" t="s">
        <v>675</v>
      </c>
      <c r="C111" s="278" t="s">
        <v>78</v>
      </c>
      <c r="D111" s="279">
        <v>4</v>
      </c>
      <c r="E111" s="279">
        <v>799.38400000000001</v>
      </c>
      <c r="F111" s="283">
        <f t="shared" si="8"/>
        <v>3197.5360000000001</v>
      </c>
      <c r="G111" s="323"/>
      <c r="H111" s="397"/>
      <c r="I111" s="291"/>
      <c r="J111" s="283"/>
      <c r="K111" s="280"/>
      <c r="L111" s="280"/>
      <c r="M111" s="280"/>
      <c r="N111" s="338"/>
    </row>
    <row r="112" spans="1:27" ht="51">
      <c r="A112" s="278" t="s">
        <v>676</v>
      </c>
      <c r="B112" s="281" t="s">
        <v>677</v>
      </c>
      <c r="C112" s="278" t="s">
        <v>78</v>
      </c>
      <c r="D112" s="279">
        <v>17</v>
      </c>
      <c r="E112" s="279">
        <v>849.64200000000005</v>
      </c>
      <c r="F112" s="283">
        <f t="shared" si="8"/>
        <v>14443.914000000001</v>
      </c>
      <c r="G112" s="323"/>
      <c r="H112" s="397"/>
      <c r="I112" s="291"/>
      <c r="J112" s="283"/>
      <c r="K112" s="280"/>
      <c r="L112" s="280"/>
      <c r="M112" s="280"/>
      <c r="N112" s="338"/>
    </row>
    <row r="113" spans="1:27" ht="25.5">
      <c r="A113" s="278" t="s">
        <v>678</v>
      </c>
      <c r="B113" s="281" t="s">
        <v>679</v>
      </c>
      <c r="C113" s="278" t="s">
        <v>78</v>
      </c>
      <c r="D113" s="279">
        <v>2</v>
      </c>
      <c r="E113" s="279">
        <v>914.41</v>
      </c>
      <c r="F113" s="283">
        <f t="shared" si="8"/>
        <v>1828.82</v>
      </c>
      <c r="G113" s="323"/>
      <c r="H113" s="397"/>
      <c r="I113" s="291"/>
      <c r="J113" s="283"/>
      <c r="K113" s="280"/>
      <c r="L113" s="280"/>
      <c r="M113" s="280"/>
      <c r="N113" s="338"/>
    </row>
    <row r="114" spans="1:27" ht="25.5">
      <c r="A114" s="278" t="s">
        <v>680</v>
      </c>
      <c r="B114" s="281" t="s">
        <v>681</v>
      </c>
      <c r="C114" s="278" t="s">
        <v>78</v>
      </c>
      <c r="D114" s="279">
        <v>2</v>
      </c>
      <c r="E114" s="279">
        <v>916.66</v>
      </c>
      <c r="F114" s="283">
        <f t="shared" si="8"/>
        <v>1833.32</v>
      </c>
      <c r="G114" s="323"/>
      <c r="H114" s="397"/>
      <c r="I114" s="291"/>
      <c r="J114" s="283"/>
      <c r="K114" s="280"/>
      <c r="L114" s="280"/>
      <c r="M114" s="280"/>
      <c r="N114" s="338"/>
    </row>
    <row r="115" spans="1:27">
      <c r="A115" s="284" t="s">
        <v>88</v>
      </c>
      <c r="B115" s="285" t="s">
        <v>682</v>
      </c>
      <c r="C115" s="284"/>
      <c r="D115" s="286"/>
      <c r="E115" s="388"/>
      <c r="F115" s="393">
        <f>SUM(F116:F117)</f>
        <v>26696.492159999998</v>
      </c>
      <c r="G115" s="323"/>
      <c r="H115" s="397"/>
      <c r="I115" s="291"/>
      <c r="J115" s="283"/>
      <c r="K115" s="280"/>
      <c r="L115" s="280"/>
      <c r="M115" s="280"/>
      <c r="N115" s="338"/>
    </row>
    <row r="116" spans="1:27" ht="25.5">
      <c r="A116" s="278" t="s">
        <v>683</v>
      </c>
      <c r="B116" s="281" t="s">
        <v>684</v>
      </c>
      <c r="C116" s="289" t="s">
        <v>8</v>
      </c>
      <c r="D116" s="279">
        <v>52.8</v>
      </c>
      <c r="E116" s="279">
        <v>493.7672</v>
      </c>
      <c r="F116" s="283">
        <f t="shared" si="8"/>
        <v>26070.908159999999</v>
      </c>
      <c r="G116" s="323"/>
      <c r="H116" s="397"/>
      <c r="I116" s="291"/>
      <c r="J116" s="283"/>
      <c r="K116" s="280"/>
      <c r="L116" s="280"/>
      <c r="M116" s="280"/>
      <c r="N116" s="338"/>
    </row>
    <row r="117" spans="1:27" ht="25.5">
      <c r="A117" s="278" t="s">
        <v>685</v>
      </c>
      <c r="B117" s="281" t="s">
        <v>686</v>
      </c>
      <c r="C117" s="289" t="s">
        <v>8</v>
      </c>
      <c r="D117" s="279">
        <v>0.8</v>
      </c>
      <c r="E117" s="279">
        <v>781.98</v>
      </c>
      <c r="F117" s="283">
        <f t="shared" si="8"/>
        <v>625.58400000000006</v>
      </c>
      <c r="G117" s="323"/>
      <c r="H117" s="397"/>
      <c r="I117" s="291"/>
      <c r="J117" s="283"/>
      <c r="K117" s="280"/>
      <c r="L117" s="280"/>
      <c r="M117" s="280"/>
      <c r="N117" s="338"/>
    </row>
    <row r="118" spans="1:27">
      <c r="A118" s="516"/>
      <c r="B118" s="517"/>
      <c r="C118" s="517"/>
      <c r="D118" s="517"/>
      <c r="E118" s="517"/>
      <c r="F118" s="517"/>
      <c r="G118" s="517"/>
      <c r="H118" s="517"/>
      <c r="I118" s="517"/>
      <c r="J118" s="517"/>
      <c r="K118" s="517"/>
      <c r="L118" s="517"/>
      <c r="M118" s="518"/>
      <c r="N118" s="338"/>
    </row>
    <row r="119" spans="1:27" s="297" customFormat="1">
      <c r="A119" s="295" t="s">
        <v>551</v>
      </c>
      <c r="B119" s="519" t="s">
        <v>125</v>
      </c>
      <c r="C119" s="520"/>
      <c r="D119" s="520"/>
      <c r="E119" s="521"/>
      <c r="F119" s="300">
        <f>SUM(F120:F155)-0.03</f>
        <v>10352.645133</v>
      </c>
      <c r="G119" s="322"/>
      <c r="H119" s="326"/>
      <c r="I119" s="310"/>
      <c r="J119" s="309"/>
      <c r="K119" s="298"/>
      <c r="L119" s="298">
        <f>SUM(L120:L156)</f>
        <v>0</v>
      </c>
      <c r="M119" s="298"/>
      <c r="N119" s="338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</row>
    <row r="120" spans="1:27">
      <c r="A120" s="278" t="s">
        <v>97</v>
      </c>
      <c r="B120" s="281" t="s">
        <v>687</v>
      </c>
      <c r="C120" s="289" t="s">
        <v>78</v>
      </c>
      <c r="D120" s="279">
        <v>1</v>
      </c>
      <c r="E120" s="279">
        <v>2978.07</v>
      </c>
      <c r="F120" s="283">
        <f t="shared" ref="F120:F155" si="9">E120*D120</f>
        <v>2978.07</v>
      </c>
      <c r="G120" s="323"/>
      <c r="H120" s="397"/>
      <c r="I120" s="291"/>
      <c r="J120" s="283"/>
      <c r="K120" s="280"/>
      <c r="L120" s="280"/>
      <c r="M120" s="280"/>
      <c r="N120" s="338"/>
    </row>
    <row r="121" spans="1:27" ht="51">
      <c r="A121" s="278" t="s">
        <v>99</v>
      </c>
      <c r="B121" s="281" t="s">
        <v>688</v>
      </c>
      <c r="C121" s="289" t="s">
        <v>78</v>
      </c>
      <c r="D121" s="279">
        <v>2</v>
      </c>
      <c r="E121" s="279">
        <v>42.216000000000001</v>
      </c>
      <c r="F121" s="283">
        <f t="shared" si="9"/>
        <v>84.432000000000002</v>
      </c>
      <c r="G121" s="323"/>
      <c r="H121" s="397"/>
      <c r="I121" s="291"/>
      <c r="J121" s="283"/>
      <c r="K121" s="280"/>
      <c r="L121" s="280"/>
      <c r="M121" s="280"/>
      <c r="N121" s="338"/>
    </row>
    <row r="122" spans="1:27" ht="51">
      <c r="A122" s="278" t="s">
        <v>101</v>
      </c>
      <c r="B122" s="281" t="s">
        <v>689</v>
      </c>
      <c r="C122" s="289" t="s">
        <v>78</v>
      </c>
      <c r="D122" s="279">
        <v>1</v>
      </c>
      <c r="E122" s="279">
        <v>20.14</v>
      </c>
      <c r="F122" s="283">
        <f t="shared" si="9"/>
        <v>20.14</v>
      </c>
      <c r="G122" s="323"/>
      <c r="H122" s="397"/>
      <c r="I122" s="291"/>
      <c r="J122" s="283"/>
      <c r="K122" s="280"/>
      <c r="L122" s="280"/>
      <c r="M122" s="280"/>
      <c r="N122" s="338"/>
    </row>
    <row r="123" spans="1:27" ht="51">
      <c r="A123" s="278" t="s">
        <v>103</v>
      </c>
      <c r="B123" s="281" t="s">
        <v>690</v>
      </c>
      <c r="C123" s="289" t="s">
        <v>78</v>
      </c>
      <c r="D123" s="279">
        <v>3</v>
      </c>
      <c r="E123" s="279">
        <v>4.8499999999999996</v>
      </c>
      <c r="F123" s="283">
        <f t="shared" si="9"/>
        <v>14.549999999999999</v>
      </c>
      <c r="G123" s="323"/>
      <c r="H123" s="397"/>
      <c r="I123" s="291"/>
      <c r="J123" s="283"/>
      <c r="K123" s="280"/>
      <c r="L123" s="280"/>
      <c r="M123" s="280"/>
      <c r="N123" s="338"/>
    </row>
    <row r="124" spans="1:27">
      <c r="A124" s="278" t="s">
        <v>106</v>
      </c>
      <c r="B124" s="281" t="s">
        <v>691</v>
      </c>
      <c r="C124" s="289" t="s">
        <v>78</v>
      </c>
      <c r="D124" s="279">
        <v>1</v>
      </c>
      <c r="E124" s="279">
        <v>35.74</v>
      </c>
      <c r="F124" s="283">
        <f t="shared" si="9"/>
        <v>35.74</v>
      </c>
      <c r="G124" s="323"/>
      <c r="H124" s="397"/>
      <c r="I124" s="291"/>
      <c r="J124" s="283"/>
      <c r="K124" s="280"/>
      <c r="L124" s="280"/>
      <c r="M124" s="280"/>
      <c r="N124" s="338"/>
    </row>
    <row r="125" spans="1:27" ht="25.5">
      <c r="A125" s="278" t="s">
        <v>692</v>
      </c>
      <c r="B125" s="281" t="s">
        <v>693</v>
      </c>
      <c r="C125" s="289" t="s">
        <v>78</v>
      </c>
      <c r="D125" s="279">
        <v>28</v>
      </c>
      <c r="E125" s="279">
        <v>6.633</v>
      </c>
      <c r="F125" s="283">
        <f t="shared" si="9"/>
        <v>185.72399999999999</v>
      </c>
      <c r="G125" s="323"/>
      <c r="H125" s="397"/>
      <c r="I125" s="291"/>
      <c r="J125" s="283"/>
      <c r="K125" s="280"/>
      <c r="L125" s="280"/>
      <c r="M125" s="280"/>
      <c r="N125" s="338"/>
    </row>
    <row r="126" spans="1:27" ht="38.25">
      <c r="A126" s="278" t="s">
        <v>694</v>
      </c>
      <c r="B126" s="281" t="s">
        <v>695</v>
      </c>
      <c r="C126" s="289" t="s">
        <v>78</v>
      </c>
      <c r="D126" s="279">
        <v>26</v>
      </c>
      <c r="E126" s="279">
        <v>13.6205</v>
      </c>
      <c r="F126" s="283">
        <f t="shared" si="9"/>
        <v>354.13299999999998</v>
      </c>
      <c r="G126" s="323"/>
      <c r="H126" s="397"/>
      <c r="I126" s="291"/>
      <c r="J126" s="283"/>
      <c r="K126" s="280"/>
      <c r="L126" s="280"/>
      <c r="M126" s="280"/>
      <c r="N126" s="338"/>
    </row>
    <row r="127" spans="1:27" ht="38.25">
      <c r="A127" s="278" t="s">
        <v>696</v>
      </c>
      <c r="B127" s="281" t="s">
        <v>697</v>
      </c>
      <c r="C127" s="289" t="s">
        <v>78</v>
      </c>
      <c r="D127" s="279">
        <v>1</v>
      </c>
      <c r="E127" s="279">
        <v>15.09</v>
      </c>
      <c r="F127" s="283">
        <f t="shared" si="9"/>
        <v>15.09</v>
      </c>
      <c r="G127" s="323"/>
      <c r="H127" s="397"/>
      <c r="I127" s="291"/>
      <c r="J127" s="283"/>
      <c r="K127" s="280"/>
      <c r="L127" s="280"/>
      <c r="M127" s="280"/>
      <c r="N127" s="338"/>
    </row>
    <row r="128" spans="1:27" ht="25.5">
      <c r="A128" s="278" t="s">
        <v>698</v>
      </c>
      <c r="B128" s="281" t="s">
        <v>699</v>
      </c>
      <c r="C128" s="289" t="s">
        <v>78</v>
      </c>
      <c r="D128" s="279">
        <v>1</v>
      </c>
      <c r="E128" s="279">
        <v>9.7200000000000006</v>
      </c>
      <c r="F128" s="283">
        <f t="shared" si="9"/>
        <v>9.7200000000000006</v>
      </c>
      <c r="G128" s="323"/>
      <c r="H128" s="397"/>
      <c r="I128" s="291"/>
      <c r="J128" s="283"/>
      <c r="K128" s="280"/>
      <c r="L128" s="280"/>
      <c r="M128" s="280"/>
      <c r="N128" s="338"/>
    </row>
    <row r="129" spans="1:14" ht="25.5">
      <c r="A129" s="278" t="s">
        <v>700</v>
      </c>
      <c r="B129" s="281" t="s">
        <v>701</v>
      </c>
      <c r="C129" s="289" t="s">
        <v>78</v>
      </c>
      <c r="D129" s="279">
        <v>6</v>
      </c>
      <c r="E129" s="279">
        <v>1.1719999999999999</v>
      </c>
      <c r="F129" s="283">
        <f t="shared" si="9"/>
        <v>7.032</v>
      </c>
      <c r="G129" s="323"/>
      <c r="H129" s="397"/>
      <c r="I129" s="291"/>
      <c r="J129" s="283"/>
      <c r="K129" s="280"/>
      <c r="L129" s="280"/>
      <c r="M129" s="280"/>
      <c r="N129" s="338"/>
    </row>
    <row r="130" spans="1:14" ht="38.25">
      <c r="A130" s="278" t="s">
        <v>702</v>
      </c>
      <c r="B130" s="281" t="s">
        <v>703</v>
      </c>
      <c r="C130" s="289" t="s">
        <v>78</v>
      </c>
      <c r="D130" s="279">
        <v>15</v>
      </c>
      <c r="E130" s="279">
        <v>15.147500000000001</v>
      </c>
      <c r="F130" s="283">
        <f t="shared" si="9"/>
        <v>227.21250000000001</v>
      </c>
      <c r="G130" s="323"/>
      <c r="H130" s="397"/>
      <c r="I130" s="291"/>
      <c r="J130" s="283"/>
      <c r="K130" s="280"/>
      <c r="L130" s="280"/>
      <c r="M130" s="280"/>
      <c r="N130" s="338"/>
    </row>
    <row r="131" spans="1:14" ht="38.25">
      <c r="A131" s="278" t="s">
        <v>704</v>
      </c>
      <c r="B131" s="281" t="s">
        <v>705</v>
      </c>
      <c r="C131" s="289" t="s">
        <v>78</v>
      </c>
      <c r="D131" s="279">
        <v>1</v>
      </c>
      <c r="E131" s="279">
        <v>27.18</v>
      </c>
      <c r="F131" s="283">
        <f t="shared" si="9"/>
        <v>27.18</v>
      </c>
      <c r="G131" s="323"/>
      <c r="H131" s="397"/>
      <c r="I131" s="291"/>
      <c r="J131" s="283"/>
      <c r="K131" s="280"/>
      <c r="L131" s="280"/>
      <c r="M131" s="280"/>
      <c r="N131" s="338"/>
    </row>
    <row r="132" spans="1:14" ht="25.5">
      <c r="A132" s="278" t="s">
        <v>706</v>
      </c>
      <c r="B132" s="281" t="s">
        <v>707</v>
      </c>
      <c r="C132" s="289" t="s">
        <v>78</v>
      </c>
      <c r="D132" s="279">
        <v>6</v>
      </c>
      <c r="E132" s="279">
        <v>8.4939999999999998</v>
      </c>
      <c r="F132" s="283">
        <f t="shared" si="9"/>
        <v>50.963999999999999</v>
      </c>
      <c r="G132" s="323"/>
      <c r="H132" s="397"/>
      <c r="I132" s="291"/>
      <c r="J132" s="283"/>
      <c r="K132" s="280"/>
      <c r="L132" s="280"/>
      <c r="M132" s="280"/>
      <c r="N132" s="338"/>
    </row>
    <row r="133" spans="1:14" ht="25.5">
      <c r="A133" s="278" t="s">
        <v>708</v>
      </c>
      <c r="B133" s="281" t="s">
        <v>699</v>
      </c>
      <c r="C133" s="289" t="s">
        <v>78</v>
      </c>
      <c r="D133" s="279">
        <v>2</v>
      </c>
      <c r="E133" s="279">
        <v>9.7200000000000006</v>
      </c>
      <c r="F133" s="283">
        <f t="shared" si="9"/>
        <v>19.440000000000001</v>
      </c>
      <c r="G133" s="323"/>
      <c r="H133" s="397"/>
      <c r="I133" s="291"/>
      <c r="J133" s="283"/>
      <c r="K133" s="280"/>
      <c r="L133" s="280"/>
      <c r="M133" s="280"/>
      <c r="N133" s="338"/>
    </row>
    <row r="134" spans="1:14" ht="25.5">
      <c r="A134" s="278" t="s">
        <v>709</v>
      </c>
      <c r="B134" s="281" t="s">
        <v>710</v>
      </c>
      <c r="C134" s="289" t="s">
        <v>78</v>
      </c>
      <c r="D134" s="279">
        <v>2</v>
      </c>
      <c r="E134" s="279">
        <v>4.18</v>
      </c>
      <c r="F134" s="283">
        <f t="shared" si="9"/>
        <v>8.36</v>
      </c>
      <c r="G134" s="323"/>
      <c r="H134" s="397"/>
      <c r="I134" s="291"/>
      <c r="J134" s="283"/>
      <c r="K134" s="280"/>
      <c r="L134" s="280"/>
      <c r="M134" s="280"/>
      <c r="N134" s="338"/>
    </row>
    <row r="135" spans="1:14" ht="25.5">
      <c r="A135" s="278" t="s">
        <v>711</v>
      </c>
      <c r="B135" s="281" t="s">
        <v>712</v>
      </c>
      <c r="C135" s="289" t="s">
        <v>78</v>
      </c>
      <c r="D135" s="279">
        <v>2</v>
      </c>
      <c r="E135" s="279">
        <v>5.4059999999999997</v>
      </c>
      <c r="F135" s="283">
        <f t="shared" si="9"/>
        <v>10.811999999999999</v>
      </c>
      <c r="G135" s="323"/>
      <c r="H135" s="397"/>
      <c r="I135" s="291"/>
      <c r="J135" s="283"/>
      <c r="K135" s="280"/>
      <c r="L135" s="280"/>
      <c r="M135" s="280"/>
      <c r="N135" s="338"/>
    </row>
    <row r="136" spans="1:14" ht="25.5">
      <c r="A136" s="278" t="s">
        <v>713</v>
      </c>
      <c r="B136" s="281" t="s">
        <v>714</v>
      </c>
      <c r="C136" s="289" t="s">
        <v>78</v>
      </c>
      <c r="D136" s="279">
        <v>1</v>
      </c>
      <c r="E136" s="279">
        <v>2.54</v>
      </c>
      <c r="F136" s="283">
        <f t="shared" si="9"/>
        <v>2.54</v>
      </c>
      <c r="G136" s="323"/>
      <c r="H136" s="397"/>
      <c r="I136" s="291"/>
      <c r="J136" s="283"/>
      <c r="K136" s="280"/>
      <c r="L136" s="280"/>
      <c r="M136" s="280"/>
      <c r="N136" s="338"/>
    </row>
    <row r="137" spans="1:14" ht="25.5">
      <c r="A137" s="278" t="s">
        <v>715</v>
      </c>
      <c r="B137" s="281" t="s">
        <v>716</v>
      </c>
      <c r="C137" s="289" t="s">
        <v>78</v>
      </c>
      <c r="D137" s="279">
        <v>6</v>
      </c>
      <c r="E137" s="279">
        <v>12.782</v>
      </c>
      <c r="F137" s="283">
        <f t="shared" si="9"/>
        <v>76.692000000000007</v>
      </c>
      <c r="G137" s="323"/>
      <c r="H137" s="397"/>
      <c r="I137" s="291"/>
      <c r="J137" s="283"/>
      <c r="K137" s="280"/>
      <c r="L137" s="280"/>
      <c r="M137" s="280"/>
      <c r="N137" s="338"/>
    </row>
    <row r="138" spans="1:14" ht="25.5">
      <c r="A138" s="278" t="s">
        <v>717</v>
      </c>
      <c r="B138" s="281" t="s">
        <v>718</v>
      </c>
      <c r="C138" s="289" t="s">
        <v>78</v>
      </c>
      <c r="D138" s="279">
        <v>5</v>
      </c>
      <c r="E138" s="279">
        <v>10.922000000000001</v>
      </c>
      <c r="F138" s="283">
        <f t="shared" si="9"/>
        <v>54.61</v>
      </c>
      <c r="G138" s="323"/>
      <c r="H138" s="397"/>
      <c r="I138" s="291"/>
      <c r="J138" s="283"/>
      <c r="K138" s="280"/>
      <c r="L138" s="280"/>
      <c r="M138" s="280"/>
      <c r="N138" s="338"/>
    </row>
    <row r="139" spans="1:14" ht="25.5">
      <c r="A139" s="278" t="s">
        <v>719</v>
      </c>
      <c r="B139" s="281" t="s">
        <v>720</v>
      </c>
      <c r="C139" s="289" t="s">
        <v>78</v>
      </c>
      <c r="D139" s="279">
        <v>5</v>
      </c>
      <c r="E139" s="279">
        <v>12.287000000000001</v>
      </c>
      <c r="F139" s="283">
        <f t="shared" si="9"/>
        <v>61.435000000000002</v>
      </c>
      <c r="G139" s="323"/>
      <c r="H139" s="397"/>
      <c r="I139" s="291"/>
      <c r="J139" s="283"/>
      <c r="K139" s="280"/>
      <c r="L139" s="280"/>
      <c r="M139" s="280"/>
      <c r="N139" s="338"/>
    </row>
    <row r="140" spans="1:14" ht="25.5">
      <c r="A140" s="278" t="s">
        <v>721</v>
      </c>
      <c r="B140" s="281" t="s">
        <v>722</v>
      </c>
      <c r="C140" s="289" t="s">
        <v>78</v>
      </c>
      <c r="D140" s="279">
        <v>8</v>
      </c>
      <c r="E140" s="279">
        <v>9.3529999999999998</v>
      </c>
      <c r="F140" s="283">
        <f t="shared" si="9"/>
        <v>74.823999999999998</v>
      </c>
      <c r="G140" s="323"/>
      <c r="H140" s="397"/>
      <c r="I140" s="291"/>
      <c r="J140" s="283"/>
      <c r="K140" s="280"/>
      <c r="L140" s="280"/>
      <c r="M140" s="280"/>
      <c r="N140" s="338"/>
    </row>
    <row r="141" spans="1:14" ht="25.5">
      <c r="A141" s="278" t="s">
        <v>723</v>
      </c>
      <c r="B141" s="281" t="s">
        <v>724</v>
      </c>
      <c r="C141" s="289" t="s">
        <v>78</v>
      </c>
      <c r="D141" s="279">
        <v>3</v>
      </c>
      <c r="E141" s="279">
        <v>14.75</v>
      </c>
      <c r="F141" s="283">
        <f t="shared" si="9"/>
        <v>44.25</v>
      </c>
      <c r="G141" s="323"/>
      <c r="H141" s="397"/>
      <c r="I141" s="291"/>
      <c r="J141" s="283"/>
      <c r="K141" s="280"/>
      <c r="L141" s="280"/>
      <c r="M141" s="280"/>
      <c r="N141" s="338"/>
    </row>
    <row r="142" spans="1:14" ht="38.25">
      <c r="A142" s="278" t="s">
        <v>725</v>
      </c>
      <c r="B142" s="281" t="s">
        <v>726</v>
      </c>
      <c r="C142" s="289" t="s">
        <v>78</v>
      </c>
      <c r="D142" s="279">
        <v>3</v>
      </c>
      <c r="E142" s="279">
        <v>23.532</v>
      </c>
      <c r="F142" s="283">
        <f t="shared" si="9"/>
        <v>70.596000000000004</v>
      </c>
      <c r="G142" s="323"/>
      <c r="H142" s="397"/>
      <c r="I142" s="291"/>
      <c r="J142" s="283"/>
      <c r="K142" s="280"/>
      <c r="L142" s="280"/>
      <c r="M142" s="280"/>
      <c r="N142" s="338"/>
    </row>
    <row r="143" spans="1:14" ht="25.5">
      <c r="A143" s="278" t="s">
        <v>727</v>
      </c>
      <c r="B143" s="281" t="s">
        <v>728</v>
      </c>
      <c r="C143" s="289" t="s">
        <v>78</v>
      </c>
      <c r="D143" s="279">
        <v>3</v>
      </c>
      <c r="E143" s="279">
        <v>17.350000000000001</v>
      </c>
      <c r="F143" s="283">
        <f t="shared" si="9"/>
        <v>52.050000000000004</v>
      </c>
      <c r="G143" s="323"/>
      <c r="H143" s="397"/>
      <c r="I143" s="291"/>
      <c r="J143" s="283"/>
      <c r="K143" s="280"/>
      <c r="L143" s="280"/>
      <c r="M143" s="280"/>
      <c r="N143" s="338"/>
    </row>
    <row r="144" spans="1:14" ht="25.5">
      <c r="A144" s="278" t="s">
        <v>729</v>
      </c>
      <c r="B144" s="281" t="s">
        <v>730</v>
      </c>
      <c r="C144" s="289" t="s">
        <v>78</v>
      </c>
      <c r="D144" s="279">
        <v>5</v>
      </c>
      <c r="E144" s="279">
        <v>19.242000000000001</v>
      </c>
      <c r="F144" s="283">
        <f t="shared" si="9"/>
        <v>96.210000000000008</v>
      </c>
      <c r="G144" s="323"/>
      <c r="H144" s="397"/>
      <c r="I144" s="291"/>
      <c r="J144" s="283"/>
      <c r="K144" s="280"/>
      <c r="L144" s="280"/>
      <c r="M144" s="280"/>
      <c r="N144" s="338"/>
    </row>
    <row r="145" spans="1:27" ht="25.5">
      <c r="A145" s="278" t="s">
        <v>731</v>
      </c>
      <c r="B145" s="281" t="s">
        <v>732</v>
      </c>
      <c r="C145" s="289" t="s">
        <v>105</v>
      </c>
      <c r="D145" s="279">
        <v>68.069999999999993</v>
      </c>
      <c r="E145" s="279">
        <v>17.286300000000001</v>
      </c>
      <c r="F145" s="283">
        <f t="shared" si="9"/>
        <v>1176.678441</v>
      </c>
      <c r="G145" s="323"/>
      <c r="H145" s="397"/>
      <c r="I145" s="291"/>
      <c r="J145" s="283"/>
      <c r="K145" s="280"/>
      <c r="L145" s="280"/>
      <c r="M145" s="280"/>
      <c r="N145" s="338"/>
    </row>
    <row r="146" spans="1:27" ht="25.5">
      <c r="A146" s="278" t="s">
        <v>733</v>
      </c>
      <c r="B146" s="281" t="s">
        <v>734</v>
      </c>
      <c r="C146" s="289" t="s">
        <v>78</v>
      </c>
      <c r="D146" s="279">
        <v>1</v>
      </c>
      <c r="E146" s="279">
        <v>30.84</v>
      </c>
      <c r="F146" s="283">
        <f t="shared" si="9"/>
        <v>30.84</v>
      </c>
      <c r="G146" s="323"/>
      <c r="H146" s="397"/>
      <c r="I146" s="291"/>
      <c r="J146" s="283"/>
      <c r="K146" s="280"/>
      <c r="L146" s="280"/>
      <c r="M146" s="280"/>
      <c r="N146" s="338"/>
    </row>
    <row r="147" spans="1:27" ht="25.5">
      <c r="A147" s="278" t="s">
        <v>735</v>
      </c>
      <c r="B147" s="281" t="s">
        <v>736</v>
      </c>
      <c r="C147" s="289" t="s">
        <v>105</v>
      </c>
      <c r="D147" s="279">
        <v>19.43</v>
      </c>
      <c r="E147" s="279">
        <v>25.994</v>
      </c>
      <c r="F147" s="283">
        <f t="shared" si="9"/>
        <v>505.06342000000001</v>
      </c>
      <c r="G147" s="323"/>
      <c r="H147" s="397"/>
      <c r="I147" s="291"/>
      <c r="J147" s="283"/>
      <c r="K147" s="280"/>
      <c r="L147" s="280"/>
      <c r="M147" s="280"/>
      <c r="N147" s="338"/>
    </row>
    <row r="148" spans="1:27" ht="25.5">
      <c r="A148" s="278" t="s">
        <v>737</v>
      </c>
      <c r="B148" s="281" t="s">
        <v>738</v>
      </c>
      <c r="C148" s="289" t="s">
        <v>78</v>
      </c>
      <c r="D148" s="279">
        <v>5</v>
      </c>
      <c r="E148" s="279">
        <v>32.54</v>
      </c>
      <c r="F148" s="283">
        <f t="shared" si="9"/>
        <v>162.69999999999999</v>
      </c>
      <c r="G148" s="323"/>
      <c r="H148" s="397"/>
      <c r="I148" s="291"/>
      <c r="J148" s="283"/>
      <c r="K148" s="280"/>
      <c r="L148" s="280"/>
      <c r="M148" s="280"/>
      <c r="N148" s="338"/>
    </row>
    <row r="149" spans="1:27" ht="25.5">
      <c r="A149" s="278" t="s">
        <v>739</v>
      </c>
      <c r="B149" s="281" t="s">
        <v>740</v>
      </c>
      <c r="C149" s="289" t="s">
        <v>105</v>
      </c>
      <c r="D149" s="279">
        <v>6.31</v>
      </c>
      <c r="E149" s="279">
        <v>17.48</v>
      </c>
      <c r="F149" s="283">
        <f t="shared" si="9"/>
        <v>110.2988</v>
      </c>
      <c r="G149" s="323"/>
      <c r="H149" s="397"/>
      <c r="I149" s="291"/>
      <c r="J149" s="283"/>
      <c r="K149" s="280"/>
      <c r="L149" s="280"/>
      <c r="M149" s="280"/>
      <c r="N149" s="338"/>
    </row>
    <row r="150" spans="1:27" ht="25.5">
      <c r="A150" s="278" t="s">
        <v>741</v>
      </c>
      <c r="B150" s="281" t="s">
        <v>742</v>
      </c>
      <c r="C150" s="289" t="s">
        <v>105</v>
      </c>
      <c r="D150" s="279">
        <v>53.96</v>
      </c>
      <c r="E150" s="279">
        <v>20.070699999999999</v>
      </c>
      <c r="F150" s="283">
        <f t="shared" si="9"/>
        <v>1083.0149719999999</v>
      </c>
      <c r="G150" s="323"/>
      <c r="H150" s="397"/>
      <c r="I150" s="291"/>
      <c r="J150" s="283"/>
      <c r="K150" s="280"/>
      <c r="L150" s="280"/>
      <c r="M150" s="280"/>
      <c r="N150" s="338"/>
    </row>
    <row r="151" spans="1:27" ht="25.5">
      <c r="A151" s="278" t="s">
        <v>743</v>
      </c>
      <c r="B151" s="281" t="s">
        <v>744</v>
      </c>
      <c r="C151" s="289" t="s">
        <v>78</v>
      </c>
      <c r="D151" s="279">
        <v>3</v>
      </c>
      <c r="E151" s="279">
        <v>93.7</v>
      </c>
      <c r="F151" s="283">
        <f t="shared" si="9"/>
        <v>281.10000000000002</v>
      </c>
      <c r="G151" s="323"/>
      <c r="H151" s="397"/>
      <c r="I151" s="291"/>
      <c r="J151" s="283"/>
      <c r="K151" s="280"/>
      <c r="L151" s="280"/>
      <c r="M151" s="280"/>
      <c r="N151" s="338"/>
    </row>
    <row r="152" spans="1:27" ht="25.5">
      <c r="A152" s="278" t="s">
        <v>745</v>
      </c>
      <c r="B152" s="281" t="s">
        <v>746</v>
      </c>
      <c r="C152" s="289" t="s">
        <v>78</v>
      </c>
      <c r="D152" s="279">
        <v>3</v>
      </c>
      <c r="E152" s="279">
        <v>33.380000000000003</v>
      </c>
      <c r="F152" s="283">
        <f t="shared" si="9"/>
        <v>100.14000000000001</v>
      </c>
      <c r="G152" s="323"/>
      <c r="H152" s="397"/>
      <c r="I152" s="291"/>
      <c r="J152" s="283"/>
      <c r="K152" s="280"/>
      <c r="L152" s="280"/>
      <c r="M152" s="280"/>
      <c r="N152" s="338"/>
    </row>
    <row r="153" spans="1:27" ht="38.25">
      <c r="A153" s="278" t="s">
        <v>747</v>
      </c>
      <c r="B153" s="281" t="s">
        <v>748</v>
      </c>
      <c r="C153" s="289" t="s">
        <v>78</v>
      </c>
      <c r="D153" s="279">
        <v>13</v>
      </c>
      <c r="E153" s="279">
        <v>97.59</v>
      </c>
      <c r="F153" s="283">
        <f t="shared" si="9"/>
        <v>1268.67</v>
      </c>
      <c r="G153" s="323"/>
      <c r="H153" s="397"/>
      <c r="I153" s="291"/>
      <c r="J153" s="283"/>
      <c r="K153" s="280"/>
      <c r="L153" s="280"/>
      <c r="M153" s="280"/>
      <c r="N153" s="338"/>
    </row>
    <row r="154" spans="1:27" ht="51">
      <c r="A154" s="278" t="s">
        <v>749</v>
      </c>
      <c r="B154" s="281" t="s">
        <v>750</v>
      </c>
      <c r="C154" s="289" t="s">
        <v>78</v>
      </c>
      <c r="D154" s="279">
        <v>7</v>
      </c>
      <c r="E154" s="279">
        <v>119.113</v>
      </c>
      <c r="F154" s="283">
        <f t="shared" si="9"/>
        <v>833.79099999999994</v>
      </c>
      <c r="G154" s="323"/>
      <c r="H154" s="397"/>
      <c r="I154" s="291"/>
      <c r="J154" s="283"/>
      <c r="K154" s="280"/>
      <c r="L154" s="280"/>
      <c r="M154" s="280"/>
      <c r="N154" s="338"/>
    </row>
    <row r="155" spans="1:27" ht="51">
      <c r="A155" s="278" t="s">
        <v>751</v>
      </c>
      <c r="B155" s="281" t="s">
        <v>752</v>
      </c>
      <c r="C155" s="289" t="s">
        <v>78</v>
      </c>
      <c r="D155" s="279">
        <v>2</v>
      </c>
      <c r="E155" s="279">
        <v>109.286</v>
      </c>
      <c r="F155" s="283">
        <f t="shared" si="9"/>
        <v>218.572</v>
      </c>
      <c r="G155" s="323"/>
      <c r="H155" s="397"/>
      <c r="I155" s="291"/>
      <c r="J155" s="283"/>
      <c r="K155" s="280"/>
      <c r="L155" s="280"/>
      <c r="M155" s="280"/>
      <c r="N155" s="338"/>
    </row>
    <row r="156" spans="1:27">
      <c r="A156" s="516"/>
      <c r="B156" s="517"/>
      <c r="C156" s="517"/>
      <c r="D156" s="517"/>
      <c r="E156" s="517"/>
      <c r="F156" s="517"/>
      <c r="G156" s="517"/>
      <c r="H156" s="517"/>
      <c r="I156" s="517"/>
      <c r="J156" s="517"/>
      <c r="K156" s="517"/>
      <c r="L156" s="517"/>
      <c r="M156" s="518"/>
      <c r="N156" s="338"/>
    </row>
    <row r="157" spans="1:27" s="297" customFormat="1">
      <c r="A157" s="295" t="s">
        <v>753</v>
      </c>
      <c r="B157" s="519" t="s">
        <v>754</v>
      </c>
      <c r="C157" s="520"/>
      <c r="D157" s="520"/>
      <c r="E157" s="521"/>
      <c r="F157" s="300">
        <f>SUM(F158,F173,F179,F189)</f>
        <v>38223.718613999998</v>
      </c>
      <c r="G157" s="322"/>
      <c r="H157" s="326"/>
      <c r="I157" s="310"/>
      <c r="J157" s="309"/>
      <c r="K157" s="298"/>
      <c r="L157" s="298">
        <f>SUM(L158:L193)</f>
        <v>0</v>
      </c>
      <c r="M157" s="298"/>
      <c r="N157" s="338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</row>
    <row r="158" spans="1:27">
      <c r="A158" s="284" t="s">
        <v>109</v>
      </c>
      <c r="B158" s="285" t="s">
        <v>755</v>
      </c>
      <c r="C158" s="284"/>
      <c r="D158" s="286"/>
      <c r="E158" s="388"/>
      <c r="F158" s="394">
        <f>SUM(F159:F172)-0.01</f>
        <v>10189.055524000001</v>
      </c>
      <c r="G158" s="323"/>
      <c r="H158" s="327"/>
      <c r="I158" s="291"/>
      <c r="J158" s="308"/>
      <c r="K158" s="280"/>
      <c r="L158" s="280"/>
      <c r="M158" s="280"/>
      <c r="N158" s="338"/>
    </row>
    <row r="159" spans="1:27" ht="38.25">
      <c r="A159" s="278" t="s">
        <v>756</v>
      </c>
      <c r="B159" s="281" t="s">
        <v>757</v>
      </c>
      <c r="C159" s="278" t="s">
        <v>78</v>
      </c>
      <c r="D159" s="279">
        <v>36</v>
      </c>
      <c r="E159" s="279">
        <v>9.718</v>
      </c>
      <c r="F159" s="283">
        <f t="shared" ref="F159:F192" si="10">E159*D159</f>
        <v>349.84800000000001</v>
      </c>
      <c r="G159" s="323"/>
      <c r="H159" s="397"/>
      <c r="I159" s="291"/>
      <c r="J159" s="283"/>
      <c r="K159" s="280"/>
      <c r="L159" s="280"/>
      <c r="M159" s="280"/>
      <c r="N159" s="338"/>
    </row>
    <row r="160" spans="1:27" ht="25.5">
      <c r="A160" s="278" t="s">
        <v>758</v>
      </c>
      <c r="B160" s="281" t="s">
        <v>759</v>
      </c>
      <c r="C160" s="278" t="s">
        <v>78</v>
      </c>
      <c r="D160" s="279">
        <v>36</v>
      </c>
      <c r="E160" s="279">
        <v>12.2445</v>
      </c>
      <c r="F160" s="283">
        <f t="shared" si="10"/>
        <v>440.80200000000002</v>
      </c>
      <c r="G160" s="323"/>
      <c r="H160" s="397"/>
      <c r="I160" s="291"/>
      <c r="J160" s="283"/>
      <c r="K160" s="280"/>
      <c r="L160" s="280"/>
      <c r="M160" s="280"/>
      <c r="N160" s="338"/>
    </row>
    <row r="161" spans="1:14" ht="38.25">
      <c r="A161" s="278" t="s">
        <v>760</v>
      </c>
      <c r="B161" s="281" t="s">
        <v>761</v>
      </c>
      <c r="C161" s="278" t="s">
        <v>78</v>
      </c>
      <c r="D161" s="279">
        <v>13</v>
      </c>
      <c r="E161" s="279">
        <v>5.7729999999999997</v>
      </c>
      <c r="F161" s="283">
        <f t="shared" si="10"/>
        <v>75.048999999999992</v>
      </c>
      <c r="G161" s="323"/>
      <c r="H161" s="397"/>
      <c r="I161" s="291"/>
      <c r="J161" s="283"/>
      <c r="K161" s="280"/>
      <c r="L161" s="280"/>
      <c r="M161" s="280"/>
      <c r="N161" s="338"/>
    </row>
    <row r="162" spans="1:14" ht="38.25">
      <c r="A162" s="278" t="s">
        <v>762</v>
      </c>
      <c r="B162" s="281" t="s">
        <v>763</v>
      </c>
      <c r="C162" s="278" t="s">
        <v>78</v>
      </c>
      <c r="D162" s="279">
        <v>17</v>
      </c>
      <c r="E162" s="279">
        <v>10.0945</v>
      </c>
      <c r="F162" s="283">
        <f t="shared" si="10"/>
        <v>171.60650000000001</v>
      </c>
      <c r="G162" s="323"/>
      <c r="H162" s="397"/>
      <c r="I162" s="291"/>
      <c r="J162" s="283"/>
      <c r="K162" s="280"/>
      <c r="L162" s="280"/>
      <c r="M162" s="280"/>
      <c r="N162" s="338"/>
    </row>
    <row r="163" spans="1:14" ht="38.25">
      <c r="A163" s="278" t="s">
        <v>764</v>
      </c>
      <c r="B163" s="281" t="s">
        <v>765</v>
      </c>
      <c r="C163" s="278" t="s">
        <v>78</v>
      </c>
      <c r="D163" s="279">
        <v>3</v>
      </c>
      <c r="E163" s="279">
        <v>22.027999999999999</v>
      </c>
      <c r="F163" s="283">
        <f t="shared" si="10"/>
        <v>66.084000000000003</v>
      </c>
      <c r="G163" s="323"/>
      <c r="H163" s="397"/>
      <c r="I163" s="291"/>
      <c r="J163" s="283"/>
      <c r="K163" s="280"/>
      <c r="L163" s="280"/>
      <c r="M163" s="280"/>
      <c r="N163" s="338"/>
    </row>
    <row r="164" spans="1:14" ht="38.25">
      <c r="A164" s="278" t="s">
        <v>766</v>
      </c>
      <c r="B164" s="281" t="s">
        <v>767</v>
      </c>
      <c r="C164" s="278" t="s">
        <v>78</v>
      </c>
      <c r="D164" s="279">
        <v>7</v>
      </c>
      <c r="E164" s="279">
        <v>22.091999999999999</v>
      </c>
      <c r="F164" s="283">
        <f t="shared" si="10"/>
        <v>154.64400000000001</v>
      </c>
      <c r="G164" s="323"/>
      <c r="H164" s="397"/>
      <c r="I164" s="291"/>
      <c r="J164" s="283"/>
      <c r="K164" s="280"/>
      <c r="L164" s="280"/>
      <c r="M164" s="280"/>
      <c r="N164" s="338"/>
    </row>
    <row r="165" spans="1:14" ht="38.25">
      <c r="A165" s="278" t="s">
        <v>768</v>
      </c>
      <c r="B165" s="281" t="s">
        <v>769</v>
      </c>
      <c r="C165" s="278" t="s">
        <v>78</v>
      </c>
      <c r="D165" s="279">
        <v>2</v>
      </c>
      <c r="E165" s="279">
        <v>9.3529999999999998</v>
      </c>
      <c r="F165" s="283">
        <f t="shared" si="10"/>
        <v>18.706</v>
      </c>
      <c r="G165" s="323"/>
      <c r="H165" s="397"/>
      <c r="I165" s="291"/>
      <c r="J165" s="283"/>
      <c r="K165" s="280"/>
      <c r="L165" s="280"/>
      <c r="M165" s="280"/>
      <c r="N165" s="338"/>
    </row>
    <row r="166" spans="1:14" ht="25.5">
      <c r="A166" s="278" t="s">
        <v>770</v>
      </c>
      <c r="B166" s="281" t="s">
        <v>771</v>
      </c>
      <c r="C166" s="278" t="s">
        <v>78</v>
      </c>
      <c r="D166" s="279">
        <v>12</v>
      </c>
      <c r="E166" s="279">
        <v>56.987000000000002</v>
      </c>
      <c r="F166" s="283">
        <f t="shared" si="10"/>
        <v>683.84400000000005</v>
      </c>
      <c r="G166" s="323"/>
      <c r="H166" s="397"/>
      <c r="I166" s="291"/>
      <c r="J166" s="283"/>
      <c r="K166" s="280"/>
      <c r="L166" s="280"/>
      <c r="M166" s="280"/>
      <c r="N166" s="338"/>
    </row>
    <row r="167" spans="1:14" ht="38.25">
      <c r="A167" s="278" t="s">
        <v>772</v>
      </c>
      <c r="B167" s="281" t="s">
        <v>773</v>
      </c>
      <c r="C167" s="278" t="s">
        <v>78</v>
      </c>
      <c r="D167" s="279">
        <v>5</v>
      </c>
      <c r="E167" s="279">
        <v>20.425999999999998</v>
      </c>
      <c r="F167" s="283">
        <f t="shared" si="10"/>
        <v>102.13</v>
      </c>
      <c r="G167" s="323"/>
      <c r="H167" s="397"/>
      <c r="I167" s="291"/>
      <c r="J167" s="283"/>
      <c r="K167" s="280"/>
      <c r="L167" s="280"/>
      <c r="M167" s="280"/>
      <c r="N167" s="338"/>
    </row>
    <row r="168" spans="1:14" ht="38.25">
      <c r="A168" s="278" t="s">
        <v>774</v>
      </c>
      <c r="B168" s="281" t="s">
        <v>775</v>
      </c>
      <c r="C168" s="278" t="s">
        <v>105</v>
      </c>
      <c r="D168" s="279">
        <v>55.81</v>
      </c>
      <c r="E168" s="279">
        <v>16.609000000000002</v>
      </c>
      <c r="F168" s="283">
        <f t="shared" si="10"/>
        <v>926.94829000000016</v>
      </c>
      <c r="G168" s="323"/>
      <c r="H168" s="397"/>
      <c r="I168" s="291"/>
      <c r="J168" s="283"/>
      <c r="K168" s="280"/>
      <c r="L168" s="280"/>
      <c r="M168" s="280"/>
      <c r="N168" s="338"/>
    </row>
    <row r="169" spans="1:14" ht="25.5">
      <c r="A169" s="278" t="s">
        <v>776</v>
      </c>
      <c r="B169" s="281" t="s">
        <v>777</v>
      </c>
      <c r="C169" s="278" t="s">
        <v>78</v>
      </c>
      <c r="D169" s="279">
        <v>10</v>
      </c>
      <c r="E169" s="279">
        <v>22.338999999999999</v>
      </c>
      <c r="F169" s="283">
        <f t="shared" si="10"/>
        <v>223.39</v>
      </c>
      <c r="G169" s="323"/>
      <c r="H169" s="397"/>
      <c r="I169" s="291"/>
      <c r="J169" s="283"/>
      <c r="K169" s="280"/>
      <c r="L169" s="280"/>
      <c r="M169" s="280"/>
      <c r="N169" s="338"/>
    </row>
    <row r="170" spans="1:14" ht="38.25">
      <c r="A170" s="278" t="s">
        <v>778</v>
      </c>
      <c r="B170" s="281" t="s">
        <v>779</v>
      </c>
      <c r="C170" s="278" t="s">
        <v>105</v>
      </c>
      <c r="D170" s="279">
        <v>56.63</v>
      </c>
      <c r="E170" s="279">
        <v>25.316800000000001</v>
      </c>
      <c r="F170" s="283">
        <f t="shared" si="10"/>
        <v>1433.690384</v>
      </c>
      <c r="G170" s="323"/>
      <c r="H170" s="397"/>
      <c r="I170" s="291"/>
      <c r="J170" s="283"/>
      <c r="K170" s="280"/>
      <c r="L170" s="280"/>
      <c r="M170" s="280"/>
      <c r="N170" s="338"/>
    </row>
    <row r="171" spans="1:14" ht="38.25">
      <c r="A171" s="278" t="s">
        <v>780</v>
      </c>
      <c r="B171" s="281" t="s">
        <v>781</v>
      </c>
      <c r="C171" s="278" t="s">
        <v>105</v>
      </c>
      <c r="D171" s="279">
        <v>1.7</v>
      </c>
      <c r="E171" s="279">
        <v>38.14</v>
      </c>
      <c r="F171" s="283">
        <f t="shared" si="10"/>
        <v>64.837999999999994</v>
      </c>
      <c r="G171" s="323"/>
      <c r="H171" s="397"/>
      <c r="I171" s="291"/>
      <c r="J171" s="283"/>
      <c r="K171" s="280"/>
      <c r="L171" s="280"/>
      <c r="M171" s="280"/>
      <c r="N171" s="338"/>
    </row>
    <row r="172" spans="1:14" ht="38.25">
      <c r="A172" s="278" t="s">
        <v>782</v>
      </c>
      <c r="B172" s="281" t="s">
        <v>783</v>
      </c>
      <c r="C172" s="278" t="s">
        <v>105</v>
      </c>
      <c r="D172" s="279">
        <v>114.5</v>
      </c>
      <c r="E172" s="279">
        <v>47.838299999999997</v>
      </c>
      <c r="F172" s="283">
        <f t="shared" si="10"/>
        <v>5477.4853499999999</v>
      </c>
      <c r="G172" s="323"/>
      <c r="H172" s="397"/>
      <c r="I172" s="291"/>
      <c r="J172" s="283"/>
      <c r="K172" s="280"/>
      <c r="L172" s="280"/>
      <c r="M172" s="280"/>
      <c r="N172" s="338"/>
    </row>
    <row r="173" spans="1:14">
      <c r="A173" s="284" t="s">
        <v>111</v>
      </c>
      <c r="B173" s="285" t="s">
        <v>784</v>
      </c>
      <c r="C173" s="284"/>
      <c r="D173" s="286"/>
      <c r="E173" s="388"/>
      <c r="F173" s="393">
        <f>SUM(F174:F178)</f>
        <v>4291.3077999999996</v>
      </c>
      <c r="G173" s="323"/>
      <c r="H173" s="397"/>
      <c r="I173" s="291"/>
      <c r="J173" s="283"/>
      <c r="K173" s="280"/>
      <c r="L173" s="280"/>
      <c r="M173" s="280"/>
      <c r="N173" s="338"/>
    </row>
    <row r="174" spans="1:14" ht="25.5">
      <c r="A174" s="278" t="s">
        <v>785</v>
      </c>
      <c r="B174" s="281" t="s">
        <v>786</v>
      </c>
      <c r="C174" s="278" t="s">
        <v>78</v>
      </c>
      <c r="D174" s="279">
        <v>13</v>
      </c>
      <c r="E174" s="279">
        <v>191.83699999999999</v>
      </c>
      <c r="F174" s="283">
        <f t="shared" si="10"/>
        <v>2493.8809999999999</v>
      </c>
      <c r="G174" s="323"/>
      <c r="H174" s="397"/>
      <c r="I174" s="291"/>
      <c r="J174" s="283"/>
      <c r="K174" s="280"/>
      <c r="L174" s="280"/>
      <c r="M174" s="280"/>
      <c r="N174" s="338"/>
    </row>
    <row r="175" spans="1:14" ht="38.25">
      <c r="A175" s="278" t="s">
        <v>787</v>
      </c>
      <c r="B175" s="281" t="s">
        <v>788</v>
      </c>
      <c r="C175" s="278" t="s">
        <v>78</v>
      </c>
      <c r="D175" s="279">
        <v>24</v>
      </c>
      <c r="E175" s="279">
        <v>29.09</v>
      </c>
      <c r="F175" s="283">
        <f t="shared" si="10"/>
        <v>698.16</v>
      </c>
      <c r="G175" s="323"/>
      <c r="H175" s="397"/>
      <c r="I175" s="291"/>
      <c r="J175" s="283"/>
      <c r="K175" s="280"/>
      <c r="L175" s="280"/>
      <c r="M175" s="280"/>
      <c r="N175" s="338"/>
    </row>
    <row r="176" spans="1:14">
      <c r="A176" s="278" t="s">
        <v>789</v>
      </c>
      <c r="B176" s="281" t="s">
        <v>790</v>
      </c>
      <c r="C176" s="278" t="s">
        <v>78</v>
      </c>
      <c r="D176" s="279">
        <v>1</v>
      </c>
      <c r="E176" s="279">
        <v>351.77</v>
      </c>
      <c r="F176" s="283">
        <f t="shared" si="10"/>
        <v>351.77</v>
      </c>
      <c r="G176" s="323"/>
      <c r="H176" s="397"/>
      <c r="I176" s="291"/>
      <c r="J176" s="283"/>
      <c r="K176" s="280"/>
      <c r="L176" s="280"/>
      <c r="M176" s="280"/>
      <c r="N176" s="338"/>
    </row>
    <row r="177" spans="1:14" ht="25.5">
      <c r="A177" s="278" t="s">
        <v>791</v>
      </c>
      <c r="B177" s="281" t="s">
        <v>792</v>
      </c>
      <c r="C177" s="278" t="s">
        <v>78</v>
      </c>
      <c r="D177" s="279">
        <v>31</v>
      </c>
      <c r="E177" s="279">
        <v>5.9233000000000002</v>
      </c>
      <c r="F177" s="283">
        <f t="shared" si="10"/>
        <v>183.6223</v>
      </c>
      <c r="G177" s="323"/>
      <c r="H177" s="397"/>
      <c r="I177" s="291"/>
      <c r="J177" s="283"/>
      <c r="K177" s="280"/>
      <c r="L177" s="280"/>
      <c r="M177" s="280"/>
      <c r="N177" s="338"/>
    </row>
    <row r="178" spans="1:14" ht="25.5">
      <c r="A178" s="278" t="s">
        <v>793</v>
      </c>
      <c r="B178" s="281" t="s">
        <v>794</v>
      </c>
      <c r="C178" s="278" t="s">
        <v>78</v>
      </c>
      <c r="D178" s="279">
        <v>31</v>
      </c>
      <c r="E178" s="279">
        <v>18.189499999999999</v>
      </c>
      <c r="F178" s="283">
        <f t="shared" si="10"/>
        <v>563.87450000000001</v>
      </c>
      <c r="G178" s="323"/>
      <c r="H178" s="397"/>
      <c r="I178" s="291"/>
      <c r="J178" s="283"/>
      <c r="K178" s="280"/>
      <c r="L178" s="280"/>
      <c r="M178" s="280"/>
      <c r="N178" s="338"/>
    </row>
    <row r="179" spans="1:14">
      <c r="A179" s="284" t="s">
        <v>113</v>
      </c>
      <c r="B179" s="285" t="s">
        <v>795</v>
      </c>
      <c r="C179" s="284"/>
      <c r="D179" s="286"/>
      <c r="E179" s="388"/>
      <c r="F179" s="393">
        <f>SUM(F180:F188)+0.01</f>
        <v>22831.880199999996</v>
      </c>
      <c r="G179" s="323"/>
      <c r="H179" s="397"/>
      <c r="I179" s="291"/>
      <c r="J179" s="283"/>
      <c r="K179" s="280"/>
      <c r="L179" s="280"/>
      <c r="M179" s="280"/>
      <c r="N179" s="338"/>
    </row>
    <row r="180" spans="1:14" ht="51">
      <c r="A180" s="278" t="s">
        <v>796</v>
      </c>
      <c r="B180" s="281" t="s">
        <v>797</v>
      </c>
      <c r="C180" s="278" t="s">
        <v>78</v>
      </c>
      <c r="D180" s="279">
        <v>18</v>
      </c>
      <c r="E180" s="279">
        <v>202.738</v>
      </c>
      <c r="F180" s="283">
        <f t="shared" si="10"/>
        <v>3649.2840000000001</v>
      </c>
      <c r="G180" s="323"/>
      <c r="H180" s="397"/>
      <c r="I180" s="291"/>
      <c r="J180" s="283"/>
      <c r="K180" s="280"/>
      <c r="L180" s="280"/>
      <c r="M180" s="280"/>
      <c r="N180" s="338"/>
    </row>
    <row r="181" spans="1:14" ht="51">
      <c r="A181" s="278" t="s">
        <v>798</v>
      </c>
      <c r="B181" s="281" t="s">
        <v>799</v>
      </c>
      <c r="C181" s="278" t="s">
        <v>78</v>
      </c>
      <c r="D181" s="279">
        <v>2</v>
      </c>
      <c r="E181" s="279">
        <v>755.27599999999995</v>
      </c>
      <c r="F181" s="283">
        <f t="shared" si="10"/>
        <v>1510.5519999999999</v>
      </c>
      <c r="G181" s="323"/>
      <c r="H181" s="397"/>
      <c r="I181" s="291"/>
      <c r="J181" s="283"/>
      <c r="K181" s="280"/>
      <c r="L181" s="280"/>
      <c r="M181" s="280"/>
      <c r="N181" s="338"/>
    </row>
    <row r="182" spans="1:14" ht="38.25">
      <c r="A182" s="278" t="s">
        <v>800</v>
      </c>
      <c r="B182" s="281" t="s">
        <v>801</v>
      </c>
      <c r="C182" s="278" t="s">
        <v>105</v>
      </c>
      <c r="D182" s="279">
        <v>4.8</v>
      </c>
      <c r="E182" s="279">
        <v>1037.2539999999999</v>
      </c>
      <c r="F182" s="283">
        <f t="shared" si="10"/>
        <v>4978.819199999999</v>
      </c>
      <c r="G182" s="323"/>
      <c r="H182" s="397"/>
      <c r="I182" s="291"/>
      <c r="J182" s="283"/>
      <c r="K182" s="280"/>
      <c r="L182" s="280"/>
      <c r="M182" s="280"/>
      <c r="N182" s="338"/>
    </row>
    <row r="183" spans="1:14">
      <c r="A183" s="278" t="s">
        <v>802</v>
      </c>
      <c r="B183" s="281" t="s">
        <v>803</v>
      </c>
      <c r="C183" s="278" t="s">
        <v>8</v>
      </c>
      <c r="D183" s="395">
        <v>1</v>
      </c>
      <c r="E183" s="279">
        <v>278.27</v>
      </c>
      <c r="F183" s="283">
        <f t="shared" si="10"/>
        <v>278.27</v>
      </c>
      <c r="G183" s="323"/>
      <c r="H183" s="397"/>
      <c r="I183" s="291"/>
      <c r="J183" s="283"/>
      <c r="K183" s="280"/>
      <c r="L183" s="280"/>
      <c r="M183" s="280"/>
      <c r="N183" s="338"/>
    </row>
    <row r="184" spans="1:14" ht="63.75">
      <c r="A184" s="278" t="s">
        <v>804</v>
      </c>
      <c r="B184" s="281" t="s">
        <v>805</v>
      </c>
      <c r="C184" s="278" t="s">
        <v>78</v>
      </c>
      <c r="D184" s="395">
        <v>8.4700000000000006</v>
      </c>
      <c r="E184" s="279">
        <v>746.7</v>
      </c>
      <c r="F184" s="283">
        <f>E184*D184-0.02</f>
        <v>6324.5290000000005</v>
      </c>
      <c r="G184" s="323"/>
      <c r="H184" s="397"/>
      <c r="I184" s="291"/>
      <c r="J184" s="283"/>
      <c r="K184" s="280"/>
      <c r="L184" s="280"/>
      <c r="M184" s="280"/>
      <c r="N184" s="338"/>
    </row>
    <row r="185" spans="1:14" ht="25.5">
      <c r="A185" s="278" t="s">
        <v>806</v>
      </c>
      <c r="B185" s="281" t="s">
        <v>807</v>
      </c>
      <c r="C185" s="278" t="s">
        <v>78</v>
      </c>
      <c r="D185" s="279">
        <v>8</v>
      </c>
      <c r="E185" s="279">
        <v>179.86099999999999</v>
      </c>
      <c r="F185" s="283">
        <f t="shared" si="10"/>
        <v>1438.8879999999999</v>
      </c>
      <c r="G185" s="323"/>
      <c r="H185" s="397"/>
      <c r="I185" s="291"/>
      <c r="J185" s="283"/>
      <c r="K185" s="280"/>
      <c r="L185" s="280"/>
      <c r="M185" s="280"/>
      <c r="N185" s="338"/>
    </row>
    <row r="186" spans="1:14" ht="25.5">
      <c r="A186" s="278" t="s">
        <v>808</v>
      </c>
      <c r="B186" s="281" t="s">
        <v>809</v>
      </c>
      <c r="C186" s="278" t="s">
        <v>78</v>
      </c>
      <c r="D186" s="279">
        <v>8</v>
      </c>
      <c r="E186" s="279">
        <v>144.80500000000001</v>
      </c>
      <c r="F186" s="283">
        <f t="shared" si="10"/>
        <v>1158.44</v>
      </c>
      <c r="G186" s="323"/>
      <c r="H186" s="397"/>
      <c r="I186" s="291"/>
      <c r="J186" s="283"/>
      <c r="K186" s="280"/>
      <c r="L186" s="280"/>
      <c r="M186" s="280"/>
      <c r="N186" s="338"/>
    </row>
    <row r="187" spans="1:14" ht="38.25">
      <c r="A187" s="278" t="s">
        <v>810</v>
      </c>
      <c r="B187" s="281" t="s">
        <v>811</v>
      </c>
      <c r="C187" s="278" t="s">
        <v>78</v>
      </c>
      <c r="D187" s="279">
        <v>7</v>
      </c>
      <c r="E187" s="279">
        <v>420.78399999999999</v>
      </c>
      <c r="F187" s="283">
        <f t="shared" si="10"/>
        <v>2945.4879999999998</v>
      </c>
      <c r="G187" s="323"/>
      <c r="H187" s="397"/>
      <c r="I187" s="291"/>
      <c r="J187" s="283"/>
      <c r="K187" s="280"/>
      <c r="L187" s="280"/>
      <c r="M187" s="280"/>
      <c r="N187" s="338"/>
    </row>
    <row r="188" spans="1:14" ht="25.5">
      <c r="A188" s="278" t="s">
        <v>812</v>
      </c>
      <c r="B188" s="281" t="s">
        <v>813</v>
      </c>
      <c r="C188" s="278" t="s">
        <v>78</v>
      </c>
      <c r="D188" s="279">
        <v>1</v>
      </c>
      <c r="E188" s="279">
        <v>547.6</v>
      </c>
      <c r="F188" s="283">
        <f t="shared" si="10"/>
        <v>547.6</v>
      </c>
      <c r="G188" s="323"/>
      <c r="H188" s="397"/>
      <c r="I188" s="291"/>
      <c r="J188" s="283"/>
      <c r="K188" s="280"/>
      <c r="L188" s="280"/>
      <c r="M188" s="280"/>
      <c r="N188" s="338"/>
    </row>
    <row r="189" spans="1:14">
      <c r="A189" s="284" t="s">
        <v>115</v>
      </c>
      <c r="B189" s="285" t="s">
        <v>814</v>
      </c>
      <c r="C189" s="284"/>
      <c r="D189" s="286"/>
      <c r="E189" s="388"/>
      <c r="F189" s="393">
        <f>SUM(F190:F192)</f>
        <v>911.47508999999991</v>
      </c>
      <c r="G189" s="323"/>
      <c r="H189" s="397"/>
      <c r="I189" s="291"/>
      <c r="J189" s="283"/>
      <c r="K189" s="280"/>
      <c r="L189" s="280"/>
      <c r="M189" s="280"/>
      <c r="N189" s="338"/>
    </row>
    <row r="190" spans="1:14" ht="38.25">
      <c r="A190" s="278" t="s">
        <v>815</v>
      </c>
      <c r="B190" s="281" t="s">
        <v>816</v>
      </c>
      <c r="C190" s="278" t="s">
        <v>105</v>
      </c>
      <c r="D190" s="279">
        <v>20.46</v>
      </c>
      <c r="E190" s="279">
        <v>38.141500000000001</v>
      </c>
      <c r="F190" s="283">
        <f t="shared" si="10"/>
        <v>780.37509</v>
      </c>
      <c r="G190" s="323"/>
      <c r="H190" s="397"/>
      <c r="I190" s="291"/>
      <c r="J190" s="283"/>
      <c r="K190" s="280"/>
      <c r="L190" s="280"/>
      <c r="M190" s="280"/>
      <c r="N190" s="338"/>
    </row>
    <row r="191" spans="1:14" ht="38.25">
      <c r="A191" s="278" t="s">
        <v>817</v>
      </c>
      <c r="B191" s="281" t="s">
        <v>818</v>
      </c>
      <c r="C191" s="278" t="s">
        <v>78</v>
      </c>
      <c r="D191" s="279">
        <v>5</v>
      </c>
      <c r="E191" s="279">
        <v>17.082000000000001</v>
      </c>
      <c r="F191" s="283">
        <f t="shared" si="10"/>
        <v>85.41</v>
      </c>
      <c r="G191" s="323"/>
      <c r="H191" s="397"/>
      <c r="I191" s="291"/>
      <c r="J191" s="283"/>
      <c r="K191" s="280"/>
      <c r="L191" s="280"/>
      <c r="M191" s="280"/>
      <c r="N191" s="338"/>
    </row>
    <row r="192" spans="1:14" ht="25.5">
      <c r="A192" s="278" t="s">
        <v>819</v>
      </c>
      <c r="B192" s="281" t="s">
        <v>820</v>
      </c>
      <c r="C192" s="278" t="s">
        <v>78</v>
      </c>
      <c r="D192" s="279">
        <v>5</v>
      </c>
      <c r="E192" s="279">
        <v>9.1379999999999999</v>
      </c>
      <c r="F192" s="283">
        <f t="shared" si="10"/>
        <v>45.69</v>
      </c>
      <c r="G192" s="323"/>
      <c r="H192" s="397"/>
      <c r="I192" s="291"/>
      <c r="J192" s="283"/>
      <c r="K192" s="280"/>
      <c r="L192" s="280"/>
      <c r="M192" s="280"/>
      <c r="N192" s="338"/>
    </row>
    <row r="193" spans="1:27">
      <c r="A193" s="516"/>
      <c r="B193" s="517"/>
      <c r="C193" s="517"/>
      <c r="D193" s="517"/>
      <c r="E193" s="517"/>
      <c r="F193" s="517"/>
      <c r="G193" s="517"/>
      <c r="H193" s="517"/>
      <c r="I193" s="517"/>
      <c r="J193" s="517"/>
      <c r="K193" s="517"/>
      <c r="L193" s="517"/>
      <c r="M193" s="518"/>
      <c r="N193" s="338"/>
    </row>
    <row r="194" spans="1:27" s="297" customFormat="1">
      <c r="A194" s="295" t="s">
        <v>821</v>
      </c>
      <c r="B194" s="519" t="s">
        <v>822</v>
      </c>
      <c r="C194" s="520"/>
      <c r="D194" s="520"/>
      <c r="E194" s="521"/>
      <c r="F194" s="300">
        <f>SUM(F195:F232)</f>
        <v>41814.853317100016</v>
      </c>
      <c r="G194" s="322"/>
      <c r="H194" s="326"/>
      <c r="I194" s="310"/>
      <c r="J194" s="309"/>
      <c r="K194" s="298"/>
      <c r="L194" s="298">
        <f>SUM(L195:L233)</f>
        <v>0</v>
      </c>
      <c r="M194" s="298"/>
      <c r="N194" s="338"/>
      <c r="O194" s="296"/>
      <c r="P194" s="296"/>
      <c r="Q194" s="296"/>
      <c r="R194" s="296"/>
      <c r="S194" s="296"/>
      <c r="T194" s="296"/>
      <c r="U194" s="296"/>
      <c r="V194" s="296"/>
      <c r="W194" s="296"/>
      <c r="X194" s="296"/>
      <c r="Y194" s="296"/>
      <c r="Z194" s="296"/>
      <c r="AA194" s="296"/>
    </row>
    <row r="195" spans="1:27">
      <c r="A195" s="278" t="s">
        <v>126</v>
      </c>
      <c r="B195" s="281" t="s">
        <v>823</v>
      </c>
      <c r="C195" s="289" t="s">
        <v>78</v>
      </c>
      <c r="D195" s="279">
        <v>0</v>
      </c>
      <c r="E195" s="279">
        <v>732.94</v>
      </c>
      <c r="F195" s="283"/>
      <c r="G195" s="323"/>
      <c r="H195" s="327"/>
      <c r="I195" s="291"/>
      <c r="J195" s="283"/>
      <c r="K195" s="280"/>
      <c r="L195" s="280"/>
      <c r="M195" s="280"/>
      <c r="N195" s="338"/>
    </row>
    <row r="196" spans="1:27">
      <c r="A196" s="278" t="s">
        <v>128</v>
      </c>
      <c r="B196" s="281" t="s">
        <v>824</v>
      </c>
      <c r="C196" s="289" t="s">
        <v>23</v>
      </c>
      <c r="D196" s="279">
        <v>0.35</v>
      </c>
      <c r="E196" s="279">
        <v>25.61</v>
      </c>
      <c r="F196" s="283">
        <f t="shared" ref="F196:F231" si="11">E196*D196</f>
        <v>8.9634999999999998</v>
      </c>
      <c r="G196" s="323"/>
      <c r="H196" s="397"/>
      <c r="I196" s="291"/>
      <c r="J196" s="283"/>
      <c r="K196" s="280"/>
      <c r="L196" s="280"/>
      <c r="M196" s="280"/>
      <c r="N196" s="338"/>
    </row>
    <row r="197" spans="1:27" ht="38.25">
      <c r="A197" s="278" t="s">
        <v>130</v>
      </c>
      <c r="B197" s="281" t="s">
        <v>825</v>
      </c>
      <c r="C197" s="289" t="s">
        <v>78</v>
      </c>
      <c r="D197" s="279">
        <v>2</v>
      </c>
      <c r="E197" s="279">
        <v>612.87</v>
      </c>
      <c r="F197" s="283">
        <f t="shared" si="11"/>
        <v>1225.74</v>
      </c>
      <c r="G197" s="323"/>
      <c r="H197" s="397"/>
      <c r="I197" s="291"/>
      <c r="J197" s="283"/>
      <c r="K197" s="308"/>
      <c r="L197" s="280"/>
      <c r="M197" s="308"/>
      <c r="N197" s="338"/>
    </row>
    <row r="198" spans="1:27" ht="25.5">
      <c r="A198" s="278" t="s">
        <v>132</v>
      </c>
      <c r="B198" s="281" t="s">
        <v>826</v>
      </c>
      <c r="C198" s="289" t="s">
        <v>23</v>
      </c>
      <c r="D198" s="279">
        <v>0.06</v>
      </c>
      <c r="E198" s="279">
        <v>337.87</v>
      </c>
      <c r="F198" s="283">
        <f t="shared" si="11"/>
        <v>20.272199999999998</v>
      </c>
      <c r="G198" s="323"/>
      <c r="H198" s="397"/>
      <c r="I198" s="291"/>
      <c r="J198" s="283"/>
      <c r="K198" s="308"/>
      <c r="L198" s="280"/>
      <c r="M198" s="308"/>
      <c r="N198" s="338"/>
    </row>
    <row r="199" spans="1:27">
      <c r="A199" s="278" t="s">
        <v>134</v>
      </c>
      <c r="B199" s="281" t="s">
        <v>827</v>
      </c>
      <c r="C199" s="289" t="s">
        <v>23</v>
      </c>
      <c r="D199" s="279">
        <v>0.06</v>
      </c>
      <c r="E199" s="279">
        <v>84.49</v>
      </c>
      <c r="F199" s="283">
        <f t="shared" si="11"/>
        <v>5.0693999999999999</v>
      </c>
      <c r="G199" s="323"/>
      <c r="H199" s="397"/>
      <c r="I199" s="291"/>
      <c r="J199" s="283"/>
      <c r="K199" s="308"/>
      <c r="L199" s="280"/>
      <c r="M199" s="308"/>
      <c r="N199" s="338"/>
    </row>
    <row r="200" spans="1:27">
      <c r="A200" s="278" t="s">
        <v>136</v>
      </c>
      <c r="B200" s="281" t="s">
        <v>828</v>
      </c>
      <c r="C200" s="289" t="s">
        <v>23</v>
      </c>
      <c r="D200" s="279">
        <v>0.28999999999999998</v>
      </c>
      <c r="E200" s="279">
        <v>44.81</v>
      </c>
      <c r="F200" s="283">
        <f t="shared" si="11"/>
        <v>12.994899999999999</v>
      </c>
      <c r="G200" s="323"/>
      <c r="H200" s="397"/>
      <c r="I200" s="291"/>
      <c r="J200" s="283"/>
      <c r="K200" s="308"/>
      <c r="L200" s="280"/>
      <c r="M200" s="308"/>
      <c r="N200" s="338"/>
    </row>
    <row r="201" spans="1:27" ht="25.5">
      <c r="A201" s="278" t="s">
        <v>138</v>
      </c>
      <c r="B201" s="281" t="s">
        <v>829</v>
      </c>
      <c r="C201" s="289" t="s">
        <v>78</v>
      </c>
      <c r="D201" s="279">
        <v>24</v>
      </c>
      <c r="E201" s="279">
        <v>11.3</v>
      </c>
      <c r="F201" s="283">
        <f>E201*D201-0.04</f>
        <v>271.16000000000003</v>
      </c>
      <c r="G201" s="323"/>
      <c r="H201" s="397"/>
      <c r="I201" s="291"/>
      <c r="J201" s="283"/>
      <c r="K201" s="308"/>
      <c r="L201" s="280"/>
      <c r="M201" s="308"/>
      <c r="N201" s="338"/>
    </row>
    <row r="202" spans="1:27" ht="25.5">
      <c r="A202" s="278" t="s">
        <v>140</v>
      </c>
      <c r="B202" s="281" t="s">
        <v>830</v>
      </c>
      <c r="C202" s="289" t="s">
        <v>78</v>
      </c>
      <c r="D202" s="279">
        <v>2</v>
      </c>
      <c r="E202" s="279">
        <v>73.736000000000004</v>
      </c>
      <c r="F202" s="283">
        <f t="shared" si="11"/>
        <v>147.47200000000001</v>
      </c>
      <c r="G202" s="323"/>
      <c r="H202" s="397"/>
      <c r="I202" s="291"/>
      <c r="J202" s="283"/>
      <c r="K202" s="308"/>
      <c r="L202" s="280"/>
      <c r="M202" s="308"/>
      <c r="N202" s="338"/>
    </row>
    <row r="203" spans="1:27" ht="25.5">
      <c r="A203" s="278" t="s">
        <v>142</v>
      </c>
      <c r="B203" s="281" t="s">
        <v>831</v>
      </c>
      <c r="C203" s="289" t="s">
        <v>78</v>
      </c>
      <c r="D203" s="279">
        <v>3</v>
      </c>
      <c r="E203" s="279">
        <v>176.31299999999999</v>
      </c>
      <c r="F203" s="283">
        <f t="shared" si="11"/>
        <v>528.93899999999996</v>
      </c>
      <c r="G203" s="323"/>
      <c r="H203" s="397"/>
      <c r="I203" s="291"/>
      <c r="J203" s="283"/>
      <c r="K203" s="308"/>
      <c r="L203" s="280"/>
      <c r="M203" s="308"/>
      <c r="N203" s="338"/>
    </row>
    <row r="204" spans="1:27" ht="25.5">
      <c r="A204" s="278" t="s">
        <v>144</v>
      </c>
      <c r="B204" s="281" t="s">
        <v>832</v>
      </c>
      <c r="C204" s="289" t="s">
        <v>78</v>
      </c>
      <c r="D204" s="279">
        <v>1</v>
      </c>
      <c r="E204" s="279">
        <v>99.2</v>
      </c>
      <c r="F204" s="283">
        <f t="shared" si="11"/>
        <v>99.2</v>
      </c>
      <c r="G204" s="323"/>
      <c r="H204" s="397"/>
      <c r="I204" s="291"/>
      <c r="J204" s="283"/>
      <c r="K204" s="308"/>
      <c r="L204" s="280"/>
      <c r="M204" s="308"/>
      <c r="N204" s="338"/>
    </row>
    <row r="205" spans="1:27" ht="25.5">
      <c r="A205" s="278" t="s">
        <v>146</v>
      </c>
      <c r="B205" s="281" t="s">
        <v>833</v>
      </c>
      <c r="C205" s="289" t="s">
        <v>78</v>
      </c>
      <c r="D205" s="279">
        <v>12</v>
      </c>
      <c r="E205" s="279">
        <v>96.44</v>
      </c>
      <c r="F205" s="283">
        <f t="shared" si="11"/>
        <v>1157.28</v>
      </c>
      <c r="G205" s="323"/>
      <c r="H205" s="397"/>
      <c r="I205" s="291"/>
      <c r="J205" s="283"/>
      <c r="K205" s="308"/>
      <c r="L205" s="280"/>
      <c r="M205" s="308"/>
      <c r="N205" s="338"/>
    </row>
    <row r="206" spans="1:27" ht="25.5">
      <c r="A206" s="278" t="s">
        <v>148</v>
      </c>
      <c r="B206" s="281" t="s">
        <v>834</v>
      </c>
      <c r="C206" s="289" t="s">
        <v>78</v>
      </c>
      <c r="D206" s="279">
        <v>25</v>
      </c>
      <c r="E206" s="279">
        <v>20.49</v>
      </c>
      <c r="F206" s="283">
        <f t="shared" si="11"/>
        <v>512.25</v>
      </c>
      <c r="G206" s="323"/>
      <c r="H206" s="397"/>
      <c r="I206" s="291"/>
      <c r="J206" s="283"/>
      <c r="K206" s="308"/>
      <c r="L206" s="280"/>
      <c r="M206" s="308"/>
      <c r="N206" s="338"/>
    </row>
    <row r="207" spans="1:27" ht="25.5">
      <c r="A207" s="278" t="s">
        <v>150</v>
      </c>
      <c r="B207" s="281" t="s">
        <v>835</v>
      </c>
      <c r="C207" s="289" t="s">
        <v>78</v>
      </c>
      <c r="D207" s="279">
        <v>81</v>
      </c>
      <c r="E207" s="279">
        <v>34.465000000000003</v>
      </c>
      <c r="F207" s="283">
        <f t="shared" si="11"/>
        <v>2791.6650000000004</v>
      </c>
      <c r="G207" s="323"/>
      <c r="H207" s="397"/>
      <c r="I207" s="291"/>
      <c r="J207" s="283"/>
      <c r="K207" s="308"/>
      <c r="L207" s="280"/>
      <c r="M207" s="308"/>
      <c r="N207" s="338"/>
    </row>
    <row r="208" spans="1:27" ht="25.5">
      <c r="A208" s="278" t="s">
        <v>152</v>
      </c>
      <c r="B208" s="281" t="s">
        <v>836</v>
      </c>
      <c r="C208" s="289" t="s">
        <v>78</v>
      </c>
      <c r="D208" s="279">
        <v>1</v>
      </c>
      <c r="E208" s="279">
        <v>32.49</v>
      </c>
      <c r="F208" s="283">
        <f t="shared" si="11"/>
        <v>32.49</v>
      </c>
      <c r="G208" s="323"/>
      <c r="H208" s="397"/>
      <c r="I208" s="291"/>
      <c r="J208" s="283"/>
      <c r="K208" s="308"/>
      <c r="L208" s="280"/>
      <c r="M208" s="308"/>
      <c r="N208" s="338"/>
    </row>
    <row r="209" spans="1:27" ht="25.5">
      <c r="A209" s="278" t="s">
        <v>154</v>
      </c>
      <c r="B209" s="281" t="s">
        <v>837</v>
      </c>
      <c r="C209" s="289" t="s">
        <v>78</v>
      </c>
      <c r="D209" s="279">
        <v>2</v>
      </c>
      <c r="E209" s="279">
        <v>25.23</v>
      </c>
      <c r="F209" s="283">
        <f t="shared" si="11"/>
        <v>50.46</v>
      </c>
      <c r="G209" s="323"/>
      <c r="H209" s="397"/>
      <c r="I209" s="291"/>
      <c r="J209" s="283"/>
      <c r="K209" s="308"/>
      <c r="L209" s="280"/>
      <c r="M209" s="308"/>
      <c r="N209" s="338"/>
    </row>
    <row r="210" spans="1:27">
      <c r="A210" s="278" t="s">
        <v>156</v>
      </c>
      <c r="B210" s="281" t="s">
        <v>838</v>
      </c>
      <c r="C210" s="289" t="s">
        <v>78</v>
      </c>
      <c r="D210" s="279">
        <v>11</v>
      </c>
      <c r="E210" s="279">
        <v>36.131999999999998</v>
      </c>
      <c r="F210" s="283">
        <f t="shared" si="11"/>
        <v>397.452</v>
      </c>
      <c r="G210" s="323"/>
      <c r="H210" s="397"/>
      <c r="I210" s="291"/>
      <c r="J210" s="283"/>
      <c r="K210" s="308"/>
      <c r="L210" s="280"/>
      <c r="M210" s="308"/>
      <c r="N210" s="338"/>
    </row>
    <row r="211" spans="1:27" ht="25.5">
      <c r="A211" s="278" t="s">
        <v>158</v>
      </c>
      <c r="B211" s="281" t="s">
        <v>839</v>
      </c>
      <c r="C211" s="289" t="s">
        <v>78</v>
      </c>
      <c r="D211" s="279">
        <v>33</v>
      </c>
      <c r="E211" s="279">
        <v>21.725999999999999</v>
      </c>
      <c r="F211" s="283">
        <f t="shared" si="11"/>
        <v>716.95799999999997</v>
      </c>
      <c r="G211" s="323"/>
      <c r="H211" s="397"/>
      <c r="I211" s="291"/>
      <c r="J211" s="283"/>
      <c r="K211" s="308"/>
      <c r="L211" s="280"/>
      <c r="M211" s="308"/>
      <c r="N211" s="338"/>
    </row>
    <row r="212" spans="1:27" ht="25.5">
      <c r="A212" s="278" t="s">
        <v>160</v>
      </c>
      <c r="B212" s="281" t="s">
        <v>840</v>
      </c>
      <c r="C212" s="289" t="s">
        <v>78</v>
      </c>
      <c r="D212" s="279">
        <v>19</v>
      </c>
      <c r="E212" s="279">
        <v>23.7685</v>
      </c>
      <c r="F212" s="283">
        <f t="shared" si="11"/>
        <v>451.60149999999999</v>
      </c>
      <c r="G212" s="323"/>
      <c r="H212" s="397"/>
      <c r="I212" s="291"/>
      <c r="J212" s="283"/>
      <c r="K212" s="308"/>
      <c r="L212" s="280"/>
      <c r="M212" s="308"/>
      <c r="N212" s="338"/>
    </row>
    <row r="213" spans="1:27" ht="25.5">
      <c r="A213" s="278" t="s">
        <v>162</v>
      </c>
      <c r="B213" s="281" t="s">
        <v>841</v>
      </c>
      <c r="C213" s="289" t="s">
        <v>78</v>
      </c>
      <c r="D213" s="279">
        <v>27</v>
      </c>
      <c r="E213" s="279">
        <v>34.9</v>
      </c>
      <c r="F213" s="283">
        <f>E213*D213-0.13</f>
        <v>942.17</v>
      </c>
      <c r="G213" s="323"/>
      <c r="H213" s="397"/>
      <c r="I213" s="291"/>
      <c r="J213" s="283"/>
      <c r="K213" s="308"/>
      <c r="L213" s="280"/>
      <c r="M213" s="308"/>
      <c r="N213" s="338"/>
    </row>
    <row r="214" spans="1:27" ht="25.5">
      <c r="A214" s="278" t="s">
        <v>164</v>
      </c>
      <c r="B214" s="281" t="s">
        <v>842</v>
      </c>
      <c r="C214" s="289" t="s">
        <v>105</v>
      </c>
      <c r="D214" s="279">
        <v>226.5</v>
      </c>
      <c r="E214" s="279">
        <v>2.6122999999999998</v>
      </c>
      <c r="F214" s="283">
        <f t="shared" si="11"/>
        <v>591.68594999999993</v>
      </c>
      <c r="G214" s="323"/>
      <c r="H214" s="397"/>
      <c r="I214" s="291"/>
      <c r="J214" s="283"/>
      <c r="K214" s="308"/>
      <c r="L214" s="280"/>
      <c r="M214" s="308"/>
      <c r="N214" s="338"/>
    </row>
    <row r="215" spans="1:27" ht="25.5">
      <c r="A215" s="278" t="s">
        <v>166</v>
      </c>
      <c r="B215" s="281" t="s">
        <v>843</v>
      </c>
      <c r="C215" s="289" t="s">
        <v>105</v>
      </c>
      <c r="D215" s="279">
        <v>1454.1</v>
      </c>
      <c r="E215" s="279">
        <v>3.8915700000000002</v>
      </c>
      <c r="F215" s="283">
        <f t="shared" si="11"/>
        <v>5658.7319369999996</v>
      </c>
      <c r="G215" s="323"/>
      <c r="H215" s="397"/>
      <c r="I215" s="291"/>
      <c r="J215" s="283"/>
      <c r="K215" s="308"/>
      <c r="L215" s="308"/>
      <c r="M215" s="308"/>
      <c r="N215" s="338"/>
    </row>
    <row r="216" spans="1:27" ht="25.5">
      <c r="A216" s="278" t="s">
        <v>168</v>
      </c>
      <c r="B216" s="281" t="s">
        <v>844</v>
      </c>
      <c r="C216" s="289" t="s">
        <v>105</v>
      </c>
      <c r="D216" s="279">
        <v>1900.2</v>
      </c>
      <c r="E216" s="279">
        <v>5.9126099999999999</v>
      </c>
      <c r="F216" s="283">
        <f t="shared" si="11"/>
        <v>11235.141522</v>
      </c>
      <c r="G216" s="323"/>
      <c r="H216" s="397"/>
      <c r="I216" s="291"/>
      <c r="J216" s="283"/>
      <c r="K216" s="308"/>
      <c r="L216" s="308"/>
      <c r="M216" s="308"/>
      <c r="N216" s="338"/>
    </row>
    <row r="217" spans="1:27" ht="25.5">
      <c r="A217" s="278" t="s">
        <v>170</v>
      </c>
      <c r="B217" s="281" t="s">
        <v>845</v>
      </c>
      <c r="C217" s="289" t="s">
        <v>105</v>
      </c>
      <c r="D217" s="279">
        <v>112.2</v>
      </c>
      <c r="E217" s="279">
        <v>8.9226500000000009</v>
      </c>
      <c r="F217" s="283">
        <f t="shared" si="11"/>
        <v>1001.1213300000002</v>
      </c>
      <c r="G217" s="323"/>
      <c r="H217" s="397"/>
      <c r="I217" s="291"/>
      <c r="J217" s="283"/>
      <c r="K217" s="308"/>
      <c r="L217" s="308"/>
      <c r="M217" s="308"/>
      <c r="N217" s="338"/>
    </row>
    <row r="218" spans="1:27" ht="25.5">
      <c r="A218" s="278" t="s">
        <v>172</v>
      </c>
      <c r="B218" s="281" t="s">
        <v>846</v>
      </c>
      <c r="C218" s="289" t="s">
        <v>105</v>
      </c>
      <c r="D218" s="279">
        <v>449.1</v>
      </c>
      <c r="E218" s="279">
        <v>6.5898700000000003</v>
      </c>
      <c r="F218" s="283">
        <f t="shared" si="11"/>
        <v>2959.5106170000004</v>
      </c>
      <c r="G218" s="323"/>
      <c r="H218" s="397"/>
      <c r="I218" s="291"/>
      <c r="J218" s="283"/>
      <c r="K218" s="308"/>
      <c r="L218" s="308"/>
      <c r="M218" s="308"/>
      <c r="N218" s="338"/>
    </row>
    <row r="219" spans="1:27" ht="25.5">
      <c r="A219" s="278" t="s">
        <v>174</v>
      </c>
      <c r="B219" s="281" t="s">
        <v>847</v>
      </c>
      <c r="C219" s="289" t="s">
        <v>105</v>
      </c>
      <c r="D219" s="279">
        <v>76.099999999999994</v>
      </c>
      <c r="E219" s="279">
        <v>8.4604999999999997</v>
      </c>
      <c r="F219" s="283">
        <f t="shared" si="11"/>
        <v>643.84404999999992</v>
      </c>
      <c r="G219" s="323"/>
      <c r="H219" s="397"/>
      <c r="I219" s="291"/>
      <c r="J219" s="283"/>
      <c r="K219" s="308"/>
      <c r="L219" s="308"/>
      <c r="M219" s="308"/>
      <c r="N219" s="338"/>
    </row>
    <row r="220" spans="1:27" ht="25.5">
      <c r="A220" s="278" t="s">
        <v>176</v>
      </c>
      <c r="B220" s="281" t="s">
        <v>848</v>
      </c>
      <c r="C220" s="289" t="s">
        <v>105</v>
      </c>
      <c r="D220" s="279">
        <v>261.5</v>
      </c>
      <c r="E220" s="279">
        <v>8.6753999999999998</v>
      </c>
      <c r="F220" s="283">
        <f t="shared" si="11"/>
        <v>2268.6170999999999</v>
      </c>
      <c r="G220" s="323"/>
      <c r="H220" s="397"/>
      <c r="I220" s="291"/>
      <c r="J220" s="283"/>
      <c r="K220" s="308"/>
      <c r="L220" s="308"/>
      <c r="M220" s="308"/>
      <c r="N220" s="338"/>
    </row>
    <row r="221" spans="1:27" s="386" customFormat="1" ht="25.5">
      <c r="A221" s="278" t="s">
        <v>178</v>
      </c>
      <c r="B221" s="281" t="s">
        <v>849</v>
      </c>
      <c r="C221" s="289" t="s">
        <v>105</v>
      </c>
      <c r="D221" s="279">
        <v>42.1</v>
      </c>
      <c r="E221" s="279">
        <v>11.1587</v>
      </c>
      <c r="F221" s="283">
        <f t="shared" si="11"/>
        <v>469.78127000000001</v>
      </c>
      <c r="G221" s="323"/>
      <c r="H221" s="397"/>
      <c r="I221" s="291"/>
      <c r="J221" s="283"/>
      <c r="K221" s="390"/>
      <c r="L221" s="390"/>
      <c r="M221" s="390"/>
      <c r="N221" s="384"/>
      <c r="O221" s="385"/>
      <c r="P221" s="385"/>
      <c r="Q221" s="385"/>
      <c r="R221" s="385"/>
      <c r="S221" s="385"/>
      <c r="T221" s="385"/>
      <c r="U221" s="385"/>
      <c r="V221" s="385"/>
      <c r="W221" s="385"/>
      <c r="X221" s="385"/>
      <c r="Y221" s="385"/>
      <c r="Z221" s="385"/>
      <c r="AA221" s="385"/>
    </row>
    <row r="222" spans="1:27" s="386" customFormat="1" ht="25.5">
      <c r="A222" s="278" t="s">
        <v>180</v>
      </c>
      <c r="B222" s="281" t="s">
        <v>850</v>
      </c>
      <c r="C222" s="289" t="s">
        <v>105</v>
      </c>
      <c r="D222" s="279">
        <v>6.2</v>
      </c>
      <c r="E222" s="279">
        <v>13.223000000000001</v>
      </c>
      <c r="F222" s="283">
        <f t="shared" si="11"/>
        <v>81.982600000000005</v>
      </c>
      <c r="G222" s="323"/>
      <c r="H222" s="397"/>
      <c r="I222" s="291"/>
      <c r="J222" s="283"/>
      <c r="K222" s="390"/>
      <c r="L222" s="390"/>
      <c r="M222" s="390"/>
      <c r="N222" s="384"/>
      <c r="O222" s="385"/>
      <c r="P222" s="385"/>
      <c r="Q222" s="385"/>
      <c r="R222" s="385"/>
      <c r="S222" s="385"/>
      <c r="T222" s="385"/>
      <c r="U222" s="385"/>
      <c r="V222" s="385"/>
      <c r="W222" s="385"/>
      <c r="X222" s="385"/>
      <c r="Y222" s="385"/>
      <c r="Z222" s="385"/>
      <c r="AA222" s="385"/>
    </row>
    <row r="223" spans="1:27" s="386" customFormat="1" ht="25.5">
      <c r="A223" s="278" t="s">
        <v>182</v>
      </c>
      <c r="B223" s="281" t="s">
        <v>851</v>
      </c>
      <c r="C223" s="289" t="s">
        <v>78</v>
      </c>
      <c r="D223" s="279">
        <v>4</v>
      </c>
      <c r="E223" s="279">
        <v>46.677999999999997</v>
      </c>
      <c r="F223" s="283">
        <f t="shared" si="11"/>
        <v>186.71199999999999</v>
      </c>
      <c r="G223" s="323"/>
      <c r="H223" s="397"/>
      <c r="I223" s="291"/>
      <c r="J223" s="283"/>
      <c r="K223" s="390"/>
      <c r="L223" s="390"/>
      <c r="M223" s="390"/>
      <c r="N223" s="384"/>
      <c r="O223" s="385"/>
      <c r="P223" s="385"/>
      <c r="Q223" s="385"/>
      <c r="R223" s="385"/>
      <c r="S223" s="385"/>
      <c r="T223" s="385"/>
      <c r="U223" s="385"/>
      <c r="V223" s="385"/>
      <c r="W223" s="385"/>
      <c r="X223" s="385"/>
      <c r="Y223" s="385"/>
      <c r="Z223" s="385"/>
      <c r="AA223" s="385"/>
    </row>
    <row r="224" spans="1:27" s="386" customFormat="1" ht="25.5">
      <c r="A224" s="278" t="s">
        <v>184</v>
      </c>
      <c r="B224" s="281" t="s">
        <v>852</v>
      </c>
      <c r="C224" s="289" t="s">
        <v>78</v>
      </c>
      <c r="D224" s="279">
        <v>219</v>
      </c>
      <c r="E224" s="279">
        <v>1.89205</v>
      </c>
      <c r="F224" s="283">
        <f t="shared" si="11"/>
        <v>414.35894999999999</v>
      </c>
      <c r="G224" s="323"/>
      <c r="H224" s="397"/>
      <c r="I224" s="291"/>
      <c r="J224" s="283"/>
      <c r="K224" s="390"/>
      <c r="L224" s="390"/>
      <c r="M224" s="390"/>
      <c r="N224" s="384"/>
      <c r="O224" s="385"/>
      <c r="P224" s="385"/>
      <c r="Q224" s="385"/>
      <c r="R224" s="385"/>
      <c r="S224" s="385"/>
      <c r="T224" s="385"/>
      <c r="U224" s="385"/>
      <c r="V224" s="385"/>
      <c r="W224" s="385"/>
      <c r="X224" s="385"/>
      <c r="Y224" s="385"/>
      <c r="Z224" s="385"/>
      <c r="AA224" s="385"/>
    </row>
    <row r="225" spans="1:27" s="386" customFormat="1" ht="25.5">
      <c r="A225" s="278" t="s">
        <v>186</v>
      </c>
      <c r="B225" s="281" t="s">
        <v>853</v>
      </c>
      <c r="C225" s="289" t="s">
        <v>78</v>
      </c>
      <c r="D225" s="279">
        <v>39</v>
      </c>
      <c r="E225" s="279">
        <v>2.0318000000000001</v>
      </c>
      <c r="F225" s="283">
        <f t="shared" si="11"/>
        <v>79.240200000000002</v>
      </c>
      <c r="G225" s="323"/>
      <c r="H225" s="397"/>
      <c r="I225" s="291"/>
      <c r="J225" s="283"/>
      <c r="K225" s="390"/>
      <c r="L225" s="390"/>
      <c r="M225" s="390"/>
      <c r="N225" s="384"/>
      <c r="O225" s="385"/>
      <c r="P225" s="385"/>
      <c r="Q225" s="385"/>
      <c r="R225" s="385"/>
      <c r="S225" s="385"/>
      <c r="T225" s="385"/>
      <c r="U225" s="385"/>
      <c r="V225" s="385"/>
      <c r="W225" s="385"/>
      <c r="X225" s="385"/>
      <c r="Y225" s="385"/>
      <c r="Z225" s="385"/>
      <c r="AA225" s="385"/>
    </row>
    <row r="226" spans="1:27" s="386" customFormat="1" ht="25.5">
      <c r="A226" s="278" t="s">
        <v>188</v>
      </c>
      <c r="B226" s="281" t="s">
        <v>854</v>
      </c>
      <c r="C226" s="289" t="s">
        <v>78</v>
      </c>
      <c r="D226" s="279">
        <v>6</v>
      </c>
      <c r="E226" s="279">
        <v>3.3</v>
      </c>
      <c r="F226" s="283">
        <f t="shared" si="11"/>
        <v>19.799999999999997</v>
      </c>
      <c r="G226" s="323"/>
      <c r="H226" s="397"/>
      <c r="I226" s="291"/>
      <c r="J226" s="283"/>
      <c r="K226" s="390"/>
      <c r="L226" s="390"/>
      <c r="M226" s="390"/>
      <c r="N226" s="384"/>
      <c r="O226" s="385"/>
      <c r="P226" s="385"/>
      <c r="Q226" s="385"/>
      <c r="R226" s="385"/>
      <c r="S226" s="385"/>
      <c r="T226" s="385"/>
      <c r="U226" s="385"/>
      <c r="V226" s="385"/>
      <c r="W226" s="385"/>
      <c r="X226" s="385"/>
      <c r="Y226" s="385"/>
      <c r="Z226" s="385"/>
      <c r="AA226" s="385"/>
    </row>
    <row r="227" spans="1:27" s="386" customFormat="1" ht="25.5">
      <c r="A227" s="278" t="s">
        <v>190</v>
      </c>
      <c r="B227" s="281" t="s">
        <v>855</v>
      </c>
      <c r="C227" s="289" t="s">
        <v>78</v>
      </c>
      <c r="D227" s="279">
        <v>81</v>
      </c>
      <c r="E227" s="279">
        <v>8.0518000000000001</v>
      </c>
      <c r="F227" s="283">
        <f t="shared" si="11"/>
        <v>652.19579999999996</v>
      </c>
      <c r="G227" s="323"/>
      <c r="H227" s="397"/>
      <c r="I227" s="291"/>
      <c r="J227" s="283"/>
      <c r="K227" s="390"/>
      <c r="L227" s="390"/>
      <c r="M227" s="390"/>
      <c r="N227" s="384"/>
      <c r="O227" s="385"/>
      <c r="P227" s="385"/>
      <c r="Q227" s="385"/>
      <c r="R227" s="385"/>
      <c r="S227" s="385"/>
      <c r="T227" s="385"/>
      <c r="U227" s="385"/>
      <c r="V227" s="385"/>
      <c r="W227" s="385"/>
      <c r="X227" s="385"/>
      <c r="Y227" s="385"/>
      <c r="Z227" s="385"/>
      <c r="AA227" s="385"/>
    </row>
    <row r="228" spans="1:27" ht="25.5">
      <c r="A228" s="278" t="s">
        <v>192</v>
      </c>
      <c r="B228" s="281" t="s">
        <v>856</v>
      </c>
      <c r="C228" s="289" t="s">
        <v>78</v>
      </c>
      <c r="D228" s="279">
        <v>127</v>
      </c>
      <c r="E228" s="279">
        <v>17.7378</v>
      </c>
      <c r="F228" s="283">
        <f t="shared" si="11"/>
        <v>2252.7006000000001</v>
      </c>
      <c r="G228" s="323"/>
      <c r="H228" s="397"/>
      <c r="I228" s="291"/>
      <c r="J228" s="283"/>
      <c r="K228" s="308"/>
      <c r="L228" s="308"/>
      <c r="M228" s="308"/>
      <c r="N228" s="338"/>
    </row>
    <row r="229" spans="1:27" ht="25.5">
      <c r="A229" s="278" t="s">
        <v>194</v>
      </c>
      <c r="B229" s="281" t="s">
        <v>857</v>
      </c>
      <c r="C229" s="289" t="s">
        <v>78</v>
      </c>
      <c r="D229" s="279">
        <v>29</v>
      </c>
      <c r="E229" s="279">
        <v>4.5045000000000002</v>
      </c>
      <c r="F229" s="283">
        <f t="shared" si="11"/>
        <v>130.63050000000001</v>
      </c>
      <c r="G229" s="323"/>
      <c r="H229" s="397"/>
      <c r="I229" s="291"/>
      <c r="J229" s="283"/>
      <c r="K229" s="308"/>
      <c r="L229" s="308"/>
      <c r="M229" s="308"/>
      <c r="N229" s="338"/>
    </row>
    <row r="230" spans="1:27" ht="25.5">
      <c r="A230" s="278" t="s">
        <v>196</v>
      </c>
      <c r="B230" s="281" t="s">
        <v>858</v>
      </c>
      <c r="C230" s="289" t="s">
        <v>78</v>
      </c>
      <c r="D230" s="279">
        <v>7</v>
      </c>
      <c r="E230" s="279">
        <v>5.9340000000000002</v>
      </c>
      <c r="F230" s="283">
        <f t="shared" si="11"/>
        <v>41.538000000000004</v>
      </c>
      <c r="G230" s="323"/>
      <c r="H230" s="397"/>
      <c r="I230" s="291"/>
      <c r="J230" s="283"/>
      <c r="K230" s="308"/>
      <c r="L230" s="308"/>
      <c r="M230" s="308"/>
      <c r="N230" s="338"/>
    </row>
    <row r="231" spans="1:27" ht="25.5">
      <c r="A231" s="278" t="s">
        <v>198</v>
      </c>
      <c r="B231" s="281" t="s">
        <v>859</v>
      </c>
      <c r="C231" s="289" t="s">
        <v>78</v>
      </c>
      <c r="D231" s="279">
        <v>1</v>
      </c>
      <c r="E231" s="279">
        <v>9.49</v>
      </c>
      <c r="F231" s="283">
        <f t="shared" si="11"/>
        <v>9.49</v>
      </c>
      <c r="G231" s="323"/>
      <c r="H231" s="397"/>
      <c r="I231" s="291"/>
      <c r="J231" s="283"/>
      <c r="K231" s="308"/>
      <c r="L231" s="308"/>
      <c r="M231" s="308"/>
      <c r="N231" s="338"/>
    </row>
    <row r="232" spans="1:27">
      <c r="A232" s="278" t="s">
        <v>200</v>
      </c>
      <c r="B232" s="270" t="s">
        <v>972</v>
      </c>
      <c r="C232" s="391" t="s">
        <v>78</v>
      </c>
      <c r="D232" s="392">
        <v>1</v>
      </c>
      <c r="E232" s="391">
        <f>3612.15*1.3126*0.79</f>
        <v>3745.6333911000006</v>
      </c>
      <c r="F232" s="283">
        <f>D232*E232</f>
        <v>3745.6333911000006</v>
      </c>
      <c r="G232" s="323"/>
      <c r="H232" s="327"/>
      <c r="I232" s="291"/>
      <c r="J232" s="283"/>
      <c r="K232" s="308"/>
      <c r="L232" s="308"/>
      <c r="M232" s="308"/>
      <c r="N232" s="338"/>
    </row>
    <row r="233" spans="1:27">
      <c r="A233" s="516"/>
      <c r="B233" s="517"/>
      <c r="C233" s="517"/>
      <c r="D233" s="517"/>
      <c r="E233" s="517"/>
      <c r="F233" s="517"/>
      <c r="G233" s="517"/>
      <c r="H233" s="517"/>
      <c r="I233" s="517"/>
      <c r="J233" s="517"/>
      <c r="K233" s="517"/>
      <c r="L233" s="517"/>
      <c r="M233" s="518"/>
      <c r="N233" s="338"/>
    </row>
    <row r="234" spans="1:27" s="297" customFormat="1">
      <c r="A234" s="295" t="s">
        <v>860</v>
      </c>
      <c r="B234" s="519" t="s">
        <v>861</v>
      </c>
      <c r="C234" s="520"/>
      <c r="D234" s="520"/>
      <c r="E234" s="521"/>
      <c r="F234" s="300">
        <f>SUM(F235:F239)</f>
        <v>3582.9520000000002</v>
      </c>
      <c r="G234" s="322"/>
      <c r="H234" s="326"/>
      <c r="I234" s="310"/>
      <c r="J234" s="309"/>
      <c r="K234" s="309"/>
      <c r="L234" s="309"/>
      <c r="M234" s="309"/>
      <c r="N234" s="338"/>
      <c r="O234" s="296"/>
      <c r="P234" s="296"/>
      <c r="Q234" s="296"/>
      <c r="R234" s="296"/>
      <c r="S234" s="296"/>
      <c r="T234" s="296"/>
      <c r="U234" s="296"/>
      <c r="V234" s="296"/>
      <c r="W234" s="296"/>
      <c r="X234" s="296"/>
      <c r="Y234" s="296"/>
      <c r="Z234" s="296"/>
      <c r="AA234" s="296"/>
    </row>
    <row r="235" spans="1:27" ht="25.5">
      <c r="A235" s="278" t="s">
        <v>209</v>
      </c>
      <c r="B235" s="281" t="s">
        <v>862</v>
      </c>
      <c r="C235" s="289" t="s">
        <v>78</v>
      </c>
      <c r="D235" s="279">
        <v>4</v>
      </c>
      <c r="E235" s="279">
        <v>240.18</v>
      </c>
      <c r="F235" s="283">
        <f>E235*D235</f>
        <v>960.72</v>
      </c>
      <c r="G235" s="323"/>
      <c r="H235" s="397"/>
      <c r="I235" s="291"/>
      <c r="J235" s="283"/>
      <c r="K235" s="308"/>
      <c r="L235" s="308"/>
      <c r="M235" s="308"/>
      <c r="N235" s="338"/>
    </row>
    <row r="236" spans="1:27">
      <c r="A236" s="278" t="s">
        <v>211</v>
      </c>
      <c r="B236" s="281" t="s">
        <v>863</v>
      </c>
      <c r="C236" s="289" t="s">
        <v>78</v>
      </c>
      <c r="D236" s="279">
        <v>4</v>
      </c>
      <c r="E236" s="279">
        <v>272.42</v>
      </c>
      <c r="F236" s="283">
        <f>E236*D236</f>
        <v>1089.68</v>
      </c>
      <c r="G236" s="323"/>
      <c r="H236" s="397"/>
      <c r="I236" s="291"/>
      <c r="J236" s="283"/>
      <c r="K236" s="308"/>
      <c r="L236" s="308"/>
      <c r="M236" s="308"/>
      <c r="N236" s="338"/>
    </row>
    <row r="237" spans="1:27" ht="38.25">
      <c r="A237" s="278" t="s">
        <v>213</v>
      </c>
      <c r="B237" s="281" t="s">
        <v>864</v>
      </c>
      <c r="C237" s="289" t="s">
        <v>78</v>
      </c>
      <c r="D237" s="279">
        <v>20</v>
      </c>
      <c r="E237" s="279">
        <v>32.627000000000002</v>
      </c>
      <c r="F237" s="283">
        <f>E237*D237</f>
        <v>652.54000000000008</v>
      </c>
      <c r="G237" s="323"/>
      <c r="H237" s="397"/>
      <c r="I237" s="291"/>
      <c r="J237" s="283"/>
      <c r="K237" s="308"/>
      <c r="L237" s="308"/>
      <c r="M237" s="308"/>
      <c r="N237" s="338"/>
    </row>
    <row r="238" spans="1:27" ht="25.5">
      <c r="A238" s="278" t="s">
        <v>215</v>
      </c>
      <c r="B238" s="281" t="s">
        <v>865</v>
      </c>
      <c r="C238" s="289" t="s">
        <v>78</v>
      </c>
      <c r="D238" s="279">
        <v>4</v>
      </c>
      <c r="E238" s="279">
        <v>64.878</v>
      </c>
      <c r="F238" s="283">
        <f>E238*D238</f>
        <v>259.512</v>
      </c>
      <c r="G238" s="323"/>
      <c r="H238" s="397"/>
      <c r="I238" s="291"/>
      <c r="J238" s="283"/>
      <c r="K238" s="308"/>
      <c r="L238" s="308"/>
      <c r="M238" s="308"/>
      <c r="N238" s="338"/>
    </row>
    <row r="239" spans="1:27">
      <c r="A239" s="278" t="s">
        <v>217</v>
      </c>
      <c r="B239" s="281" t="s">
        <v>866</v>
      </c>
      <c r="C239" s="289" t="s">
        <v>78</v>
      </c>
      <c r="D239" s="279">
        <v>20</v>
      </c>
      <c r="E239" s="279">
        <v>31.024999999999999</v>
      </c>
      <c r="F239" s="283">
        <f>E239*D239</f>
        <v>620.5</v>
      </c>
      <c r="G239" s="323"/>
      <c r="H239" s="397"/>
      <c r="I239" s="291"/>
      <c r="J239" s="283"/>
      <c r="K239" s="308"/>
      <c r="L239" s="308"/>
      <c r="M239" s="308"/>
      <c r="N239" s="338"/>
    </row>
    <row r="240" spans="1:27">
      <c r="A240" s="516"/>
      <c r="B240" s="517"/>
      <c r="C240" s="517"/>
      <c r="D240" s="517"/>
      <c r="E240" s="517"/>
      <c r="F240" s="517"/>
      <c r="G240" s="517"/>
      <c r="H240" s="517"/>
      <c r="I240" s="517"/>
      <c r="J240" s="517"/>
      <c r="K240" s="517"/>
      <c r="L240" s="517"/>
      <c r="M240" s="518"/>
      <c r="N240" s="338"/>
    </row>
    <row r="241" spans="1:27" s="297" customFormat="1">
      <c r="A241" s="295" t="s">
        <v>867</v>
      </c>
      <c r="B241" s="519" t="s">
        <v>868</v>
      </c>
      <c r="C241" s="520"/>
      <c r="D241" s="520"/>
      <c r="E241" s="521"/>
      <c r="F241" s="300">
        <f>SUM(F242:F245)-0.01</f>
        <v>55994.050984000001</v>
      </c>
      <c r="G241" s="322"/>
      <c r="H241" s="326"/>
      <c r="I241" s="310"/>
      <c r="J241" s="309"/>
      <c r="K241" s="309"/>
      <c r="L241" s="309"/>
      <c r="M241" s="309"/>
      <c r="N241" s="338"/>
      <c r="O241" s="296"/>
      <c r="P241" s="296"/>
      <c r="Q241" s="296"/>
      <c r="R241" s="296"/>
      <c r="S241" s="296"/>
      <c r="T241" s="296"/>
      <c r="U241" s="296"/>
      <c r="V241" s="296"/>
      <c r="W241" s="296"/>
      <c r="X241" s="296"/>
      <c r="Y241" s="296"/>
      <c r="Z241" s="296"/>
      <c r="AA241" s="296"/>
    </row>
    <row r="242" spans="1:27" ht="38.25">
      <c r="A242" s="278" t="s">
        <v>252</v>
      </c>
      <c r="B242" s="281" t="s">
        <v>869</v>
      </c>
      <c r="C242" s="289" t="s">
        <v>8</v>
      </c>
      <c r="D242" s="279">
        <v>1953.3</v>
      </c>
      <c r="E242" s="279">
        <v>3.085305</v>
      </c>
      <c r="F242" s="283">
        <f>E242*D242</f>
        <v>6026.5262564999994</v>
      </c>
      <c r="G242" s="323"/>
      <c r="H242" s="397"/>
      <c r="I242" s="291"/>
      <c r="J242" s="283"/>
      <c r="K242" s="308"/>
      <c r="L242" s="308"/>
      <c r="M242" s="308"/>
      <c r="N242" s="338"/>
    </row>
    <row r="243" spans="1:27" ht="51">
      <c r="A243" s="278" t="s">
        <v>254</v>
      </c>
      <c r="B243" s="281" t="s">
        <v>870</v>
      </c>
      <c r="C243" s="289" t="s">
        <v>8</v>
      </c>
      <c r="D243" s="279">
        <v>1702.5</v>
      </c>
      <c r="E243" s="279">
        <v>16.759554999999999</v>
      </c>
      <c r="F243" s="283">
        <f>E243*D243</f>
        <v>28533.142387499996</v>
      </c>
      <c r="G243" s="323"/>
      <c r="H243" s="397"/>
      <c r="I243" s="291"/>
      <c r="J243" s="283"/>
      <c r="K243" s="308"/>
      <c r="L243" s="308"/>
      <c r="M243" s="308"/>
      <c r="N243" s="338"/>
    </row>
    <row r="244" spans="1:27" ht="38.25">
      <c r="A244" s="278" t="s">
        <v>256</v>
      </c>
      <c r="B244" s="281" t="s">
        <v>871</v>
      </c>
      <c r="C244" s="289" t="s">
        <v>8</v>
      </c>
      <c r="D244" s="279">
        <v>250.8</v>
      </c>
      <c r="E244" s="279">
        <v>70.3</v>
      </c>
      <c r="F244" s="283">
        <f>E244*D244-1.12</f>
        <v>17630.120000000003</v>
      </c>
      <c r="G244" s="323"/>
      <c r="H244" s="397"/>
      <c r="I244" s="291"/>
      <c r="J244" s="283"/>
      <c r="K244" s="308"/>
      <c r="L244" s="308"/>
      <c r="M244" s="308"/>
      <c r="N244" s="338"/>
    </row>
    <row r="245" spans="1:27" ht="51">
      <c r="A245" s="278" t="s">
        <v>258</v>
      </c>
      <c r="B245" s="281" t="s">
        <v>872</v>
      </c>
      <c r="C245" s="289" t="s">
        <v>8</v>
      </c>
      <c r="D245" s="279">
        <v>250.8</v>
      </c>
      <c r="E245" s="279">
        <v>15.16855</v>
      </c>
      <c r="F245" s="283">
        <f>E245*D245</f>
        <v>3804.27234</v>
      </c>
      <c r="G245" s="323"/>
      <c r="H245" s="397"/>
      <c r="I245" s="291"/>
      <c r="J245" s="283"/>
      <c r="K245" s="308"/>
      <c r="L245" s="308"/>
      <c r="M245" s="308"/>
      <c r="N245" s="338"/>
    </row>
    <row r="246" spans="1:27">
      <c r="A246" s="516"/>
      <c r="B246" s="517"/>
      <c r="C246" s="517"/>
      <c r="D246" s="517"/>
      <c r="E246" s="517"/>
      <c r="F246" s="517"/>
      <c r="G246" s="517"/>
      <c r="H246" s="517"/>
      <c r="I246" s="517"/>
      <c r="J246" s="517"/>
      <c r="K246" s="517"/>
      <c r="L246" s="517"/>
      <c r="M246" s="518"/>
      <c r="N246" s="338"/>
    </row>
    <row r="247" spans="1:27" s="297" customFormat="1">
      <c r="A247" s="295" t="s">
        <v>538</v>
      </c>
      <c r="B247" s="519" t="s">
        <v>547</v>
      </c>
      <c r="C247" s="520"/>
      <c r="D247" s="520"/>
      <c r="E247" s="521"/>
      <c r="F247" s="300">
        <f>SUM(F248:F254)</f>
        <v>118577.87574170002</v>
      </c>
      <c r="G247" s="322"/>
      <c r="H247" s="326"/>
      <c r="I247" s="310"/>
      <c r="J247" s="309"/>
      <c r="K247" s="309"/>
      <c r="L247" s="309"/>
      <c r="M247" s="309"/>
      <c r="N247" s="338"/>
      <c r="O247" s="296"/>
      <c r="P247" s="296"/>
      <c r="Q247" s="296"/>
      <c r="R247" s="296"/>
      <c r="S247" s="296"/>
      <c r="T247" s="296"/>
      <c r="U247" s="296"/>
      <c r="V247" s="296"/>
      <c r="W247" s="296"/>
      <c r="X247" s="296"/>
      <c r="Y247" s="296"/>
      <c r="Z247" s="296"/>
      <c r="AA247" s="296"/>
    </row>
    <row r="248" spans="1:27" ht="25.5">
      <c r="A248" s="278" t="s">
        <v>263</v>
      </c>
      <c r="B248" s="281" t="s">
        <v>873</v>
      </c>
      <c r="C248" s="289" t="s">
        <v>8</v>
      </c>
      <c r="D248" s="279">
        <v>470.34</v>
      </c>
      <c r="E248" s="279">
        <v>23.381679999999999</v>
      </c>
      <c r="F248" s="283">
        <f t="shared" ref="F248:F253" si="12">E248*D248</f>
        <v>10997.3393712</v>
      </c>
      <c r="G248" s="323"/>
      <c r="H248" s="397"/>
      <c r="I248" s="291"/>
      <c r="J248" s="283"/>
      <c r="K248" s="308"/>
      <c r="L248" s="308"/>
      <c r="M248" s="308"/>
      <c r="N248" s="338"/>
    </row>
    <row r="249" spans="1:27" ht="25.5">
      <c r="A249" s="278" t="s">
        <v>265</v>
      </c>
      <c r="B249" s="281" t="s">
        <v>874</v>
      </c>
      <c r="C249" s="289" t="s">
        <v>8</v>
      </c>
      <c r="D249" s="279">
        <v>383.54</v>
      </c>
      <c r="E249" s="279">
        <v>117.28825000000001</v>
      </c>
      <c r="F249" s="283">
        <f t="shared" si="12"/>
        <v>44984.735405000007</v>
      </c>
      <c r="G249" s="323"/>
      <c r="H249" s="397"/>
      <c r="I249" s="291"/>
      <c r="J249" s="283"/>
      <c r="K249" s="308"/>
      <c r="L249" s="308"/>
      <c r="M249" s="308"/>
      <c r="N249" s="338"/>
    </row>
    <row r="250" spans="1:27" ht="25.5">
      <c r="A250" s="278" t="s">
        <v>267</v>
      </c>
      <c r="B250" s="281" t="s">
        <v>875</v>
      </c>
      <c r="C250" s="289" t="s">
        <v>8</v>
      </c>
      <c r="D250" s="279">
        <v>413.3</v>
      </c>
      <c r="E250" s="279">
        <v>54.58</v>
      </c>
      <c r="F250" s="283">
        <f>E250*D250+1.17</f>
        <v>22559.083999999999</v>
      </c>
      <c r="G250" s="323"/>
      <c r="H250" s="397"/>
      <c r="I250" s="291"/>
      <c r="J250" s="283"/>
      <c r="K250" s="308"/>
      <c r="L250" s="308"/>
      <c r="M250" s="308"/>
      <c r="N250" s="338"/>
    </row>
    <row r="251" spans="1:27" ht="38.25">
      <c r="A251" s="278" t="s">
        <v>269</v>
      </c>
      <c r="B251" s="281" t="s">
        <v>876</v>
      </c>
      <c r="C251" s="289" t="s">
        <v>23</v>
      </c>
      <c r="D251" s="279">
        <v>57.08</v>
      </c>
      <c r="E251" s="279">
        <v>590.28660000000002</v>
      </c>
      <c r="F251" s="283">
        <f t="shared" si="12"/>
        <v>33693.559128000001</v>
      </c>
      <c r="G251" s="323"/>
      <c r="H251" s="397"/>
      <c r="I251" s="291"/>
      <c r="J251" s="283"/>
      <c r="K251" s="308"/>
      <c r="L251" s="308"/>
      <c r="M251" s="308"/>
      <c r="N251" s="338"/>
    </row>
    <row r="252" spans="1:27">
      <c r="A252" s="278" t="s">
        <v>271</v>
      </c>
      <c r="B252" s="281" t="s">
        <v>877</v>
      </c>
      <c r="C252" s="289" t="s">
        <v>8</v>
      </c>
      <c r="D252" s="279">
        <v>5.71</v>
      </c>
      <c r="E252" s="279">
        <v>54.9328</v>
      </c>
      <c r="F252" s="283">
        <f t="shared" si="12"/>
        <v>313.66628800000001</v>
      </c>
      <c r="G252" s="323"/>
      <c r="H252" s="397"/>
      <c r="I252" s="291"/>
      <c r="J252" s="283"/>
      <c r="K252" s="308"/>
      <c r="L252" s="308"/>
      <c r="M252" s="308"/>
      <c r="N252" s="338"/>
    </row>
    <row r="253" spans="1:27" ht="51">
      <c r="A253" s="278" t="s">
        <v>273</v>
      </c>
      <c r="B253" s="281" t="s">
        <v>878</v>
      </c>
      <c r="C253" s="289" t="s">
        <v>105</v>
      </c>
      <c r="D253" s="279">
        <v>131.97</v>
      </c>
      <c r="E253" s="279">
        <v>45.68835</v>
      </c>
      <c r="F253" s="283">
        <f t="shared" si="12"/>
        <v>6029.4915494999996</v>
      </c>
      <c r="G253" s="323"/>
      <c r="H253" s="397"/>
      <c r="I253" s="291"/>
      <c r="J253" s="283"/>
      <c r="K253" s="308"/>
      <c r="L253" s="308"/>
      <c r="M253" s="308"/>
      <c r="N253" s="338"/>
    </row>
    <row r="254" spans="1:27">
      <c r="A254" s="516"/>
      <c r="B254" s="517"/>
      <c r="C254" s="517"/>
      <c r="D254" s="517"/>
      <c r="E254" s="517"/>
      <c r="F254" s="517"/>
      <c r="G254" s="517"/>
      <c r="H254" s="517"/>
      <c r="I254" s="517"/>
      <c r="J254" s="517"/>
      <c r="K254" s="517"/>
      <c r="L254" s="517"/>
      <c r="M254" s="518"/>
      <c r="N254" s="338"/>
    </row>
    <row r="255" spans="1:27" s="297" customFormat="1">
      <c r="A255" s="295" t="s">
        <v>879</v>
      </c>
      <c r="B255" s="519" t="s">
        <v>108</v>
      </c>
      <c r="C255" s="520"/>
      <c r="D255" s="520"/>
      <c r="E255" s="521"/>
      <c r="F255" s="300">
        <f>SUM(F256,F260)</f>
        <v>42751.918390125007</v>
      </c>
      <c r="G255" s="322"/>
      <c r="H255" s="326"/>
      <c r="I255" s="310"/>
      <c r="J255" s="309"/>
      <c r="K255" s="309"/>
      <c r="L255" s="309"/>
      <c r="M255" s="311"/>
      <c r="N255" s="338"/>
      <c r="O255" s="296"/>
      <c r="P255" s="296"/>
      <c r="Q255" s="296"/>
      <c r="R255" s="296"/>
      <c r="S255" s="296"/>
      <c r="T255" s="296"/>
      <c r="U255" s="296"/>
      <c r="V255" s="296"/>
      <c r="W255" s="296"/>
      <c r="X255" s="296"/>
      <c r="Y255" s="296"/>
      <c r="Z255" s="296"/>
      <c r="AA255" s="296"/>
    </row>
    <row r="256" spans="1:27">
      <c r="A256" s="284" t="s">
        <v>324</v>
      </c>
      <c r="B256" s="285" t="s">
        <v>880</v>
      </c>
      <c r="C256" s="284"/>
      <c r="D256" s="286"/>
      <c r="E256" s="388"/>
      <c r="F256" s="394">
        <f>SUM(F257:F259)+0.01</f>
        <v>40629.658430125004</v>
      </c>
      <c r="G256" s="323"/>
      <c r="H256" s="327"/>
      <c r="I256" s="291"/>
      <c r="J256" s="308"/>
      <c r="K256" s="308"/>
      <c r="L256" s="308"/>
      <c r="M256" s="270"/>
      <c r="N256" s="338"/>
    </row>
    <row r="257" spans="1:27" ht="25.5">
      <c r="A257" s="278" t="s">
        <v>881</v>
      </c>
      <c r="B257" s="281" t="s">
        <v>882</v>
      </c>
      <c r="C257" s="278" t="s">
        <v>8</v>
      </c>
      <c r="D257" s="279">
        <v>1702.5</v>
      </c>
      <c r="E257" s="279">
        <v>2.2575400000000001</v>
      </c>
      <c r="F257" s="283">
        <f t="shared" ref="F257:F262" si="13">E257*D257</f>
        <v>3843.4618500000001</v>
      </c>
      <c r="G257" s="323"/>
      <c r="H257" s="397"/>
      <c r="I257" s="291"/>
      <c r="J257" s="283"/>
      <c r="K257" s="308"/>
      <c r="L257" s="308"/>
      <c r="M257" s="270"/>
      <c r="N257" s="338"/>
    </row>
    <row r="258" spans="1:27" ht="25.5">
      <c r="A258" s="278" t="s">
        <v>883</v>
      </c>
      <c r="B258" s="281" t="s">
        <v>884</v>
      </c>
      <c r="C258" s="289" t="s">
        <v>8</v>
      </c>
      <c r="D258" s="279">
        <v>1702.5</v>
      </c>
      <c r="E258" s="279">
        <f>8.3*1.3128835</f>
        <v>10.896933050000001</v>
      </c>
      <c r="F258" s="283">
        <f>E258*D258</f>
        <v>18552.028517625004</v>
      </c>
      <c r="G258" s="323"/>
      <c r="H258" s="397"/>
      <c r="I258" s="291"/>
      <c r="J258" s="283"/>
      <c r="K258" s="308"/>
      <c r="L258" s="308"/>
      <c r="M258" s="270"/>
      <c r="N258" s="338"/>
    </row>
    <row r="259" spans="1:27" ht="25.5">
      <c r="A259" s="278" t="s">
        <v>885</v>
      </c>
      <c r="B259" s="281" t="s">
        <v>886</v>
      </c>
      <c r="C259" s="289" t="s">
        <v>8</v>
      </c>
      <c r="D259" s="279">
        <v>1702.5</v>
      </c>
      <c r="E259" s="279">
        <v>10.710224999999999</v>
      </c>
      <c r="F259" s="283">
        <f t="shared" si="13"/>
        <v>18234.158062499999</v>
      </c>
      <c r="G259" s="323"/>
      <c r="H259" s="397"/>
      <c r="I259" s="291"/>
      <c r="J259" s="283"/>
      <c r="K259" s="308"/>
      <c r="L259" s="308"/>
      <c r="M259" s="270"/>
      <c r="N259" s="338"/>
    </row>
    <row r="260" spans="1:27">
      <c r="A260" s="284" t="s">
        <v>326</v>
      </c>
      <c r="B260" s="285" t="s">
        <v>887</v>
      </c>
      <c r="C260" s="284"/>
      <c r="D260" s="286"/>
      <c r="E260" s="388"/>
      <c r="F260" s="393">
        <f>SUM(F261:F262)</f>
        <v>2122.2599600000003</v>
      </c>
      <c r="G260" s="323"/>
      <c r="H260" s="397"/>
      <c r="I260" s="291"/>
      <c r="J260" s="283"/>
      <c r="K260" s="308"/>
      <c r="L260" s="308"/>
      <c r="M260" s="270"/>
      <c r="N260" s="338"/>
    </row>
    <row r="261" spans="1:27">
      <c r="A261" s="278" t="s">
        <v>888</v>
      </c>
      <c r="B261" s="281" t="s">
        <v>889</v>
      </c>
      <c r="C261" s="289" t="s">
        <v>8</v>
      </c>
      <c r="D261" s="279">
        <v>6.12</v>
      </c>
      <c r="E261" s="279">
        <v>21.736999999999998</v>
      </c>
      <c r="F261" s="283">
        <f t="shared" si="13"/>
        <v>133.03044</v>
      </c>
      <c r="G261" s="323"/>
      <c r="H261" s="397"/>
      <c r="I261" s="291"/>
      <c r="J261" s="283"/>
      <c r="K261" s="308"/>
      <c r="L261" s="308"/>
      <c r="M261" s="270"/>
      <c r="N261" s="338"/>
    </row>
    <row r="262" spans="1:27">
      <c r="A262" s="278" t="s">
        <v>888</v>
      </c>
      <c r="B262" s="281" t="s">
        <v>890</v>
      </c>
      <c r="C262" s="289" t="s">
        <v>8</v>
      </c>
      <c r="D262" s="279">
        <v>136.16</v>
      </c>
      <c r="E262" s="279">
        <v>14.609500000000001</v>
      </c>
      <c r="F262" s="283">
        <f t="shared" si="13"/>
        <v>1989.2295200000001</v>
      </c>
      <c r="G262" s="323"/>
      <c r="H262" s="397"/>
      <c r="I262" s="291"/>
      <c r="J262" s="283"/>
      <c r="K262" s="308"/>
      <c r="L262" s="308"/>
      <c r="M262" s="270"/>
      <c r="N262" s="338"/>
    </row>
    <row r="263" spans="1:27">
      <c r="A263" s="516"/>
      <c r="B263" s="517"/>
      <c r="C263" s="517"/>
      <c r="D263" s="517"/>
      <c r="E263" s="517"/>
      <c r="F263" s="517"/>
      <c r="G263" s="517"/>
      <c r="H263" s="517"/>
      <c r="I263" s="517"/>
      <c r="J263" s="517"/>
      <c r="K263" s="517"/>
      <c r="L263" s="517"/>
      <c r="M263" s="518"/>
      <c r="N263" s="338"/>
    </row>
    <row r="264" spans="1:27" s="297" customFormat="1">
      <c r="A264" s="295" t="s">
        <v>891</v>
      </c>
      <c r="B264" s="519" t="s">
        <v>892</v>
      </c>
      <c r="C264" s="520"/>
      <c r="D264" s="520"/>
      <c r="E264" s="521"/>
      <c r="F264" s="300">
        <f>SUM(F265:F267)+0.01</f>
        <v>2050.7917054999998</v>
      </c>
      <c r="G264" s="322"/>
      <c r="H264" s="326"/>
      <c r="I264" s="310"/>
      <c r="J264" s="309"/>
      <c r="K264" s="309"/>
      <c r="L264" s="309"/>
      <c r="M264" s="311"/>
      <c r="N264" s="338"/>
      <c r="O264" s="296"/>
      <c r="P264" s="296"/>
      <c r="Q264" s="296"/>
      <c r="R264" s="296"/>
      <c r="S264" s="296"/>
      <c r="T264" s="296"/>
      <c r="U264" s="296"/>
      <c r="V264" s="296"/>
      <c r="W264" s="296"/>
      <c r="X264" s="296"/>
      <c r="Y264" s="296"/>
      <c r="Z264" s="296"/>
      <c r="AA264" s="296"/>
    </row>
    <row r="265" spans="1:27">
      <c r="A265" s="278" t="s">
        <v>337</v>
      </c>
      <c r="B265" s="281" t="s">
        <v>893</v>
      </c>
      <c r="C265" s="289" t="s">
        <v>23</v>
      </c>
      <c r="D265" s="265">
        <v>27.81</v>
      </c>
      <c r="E265" s="279">
        <v>20.683299999999999</v>
      </c>
      <c r="F265" s="283">
        <f>E265*D265</f>
        <v>575.20257299999992</v>
      </c>
      <c r="G265" s="323"/>
      <c r="H265" s="397"/>
      <c r="I265" s="291"/>
      <c r="J265" s="283"/>
      <c r="K265" s="308"/>
      <c r="L265" s="308"/>
      <c r="M265" s="270"/>
      <c r="N265" s="338"/>
    </row>
    <row r="266" spans="1:27" ht="25.5">
      <c r="A266" s="278" t="s">
        <v>339</v>
      </c>
      <c r="B266" s="281" t="s">
        <v>894</v>
      </c>
      <c r="C266" s="289" t="s">
        <v>78</v>
      </c>
      <c r="D266" s="265">
        <v>2</v>
      </c>
      <c r="E266" s="279">
        <v>208.13489999999999</v>
      </c>
      <c r="F266" s="283">
        <f>E266*D266</f>
        <v>416.26979999999998</v>
      </c>
      <c r="G266" s="323"/>
      <c r="H266" s="397"/>
      <c r="I266" s="291"/>
      <c r="J266" s="283"/>
      <c r="K266" s="308"/>
      <c r="L266" s="308"/>
      <c r="M266" s="270"/>
      <c r="N266" s="338"/>
    </row>
    <row r="267" spans="1:27">
      <c r="A267" s="278" t="s">
        <v>341</v>
      </c>
      <c r="B267" s="281" t="s">
        <v>895</v>
      </c>
      <c r="C267" s="289" t="s">
        <v>23</v>
      </c>
      <c r="D267" s="265">
        <v>502.75</v>
      </c>
      <c r="E267" s="279">
        <v>2.10703</v>
      </c>
      <c r="F267" s="283">
        <f>E267*D267</f>
        <v>1059.3093325</v>
      </c>
      <c r="G267" s="323"/>
      <c r="H267" s="397"/>
      <c r="I267" s="291"/>
      <c r="J267" s="283"/>
      <c r="K267" s="308"/>
      <c r="L267" s="308"/>
      <c r="M267" s="270"/>
      <c r="N267" s="338"/>
    </row>
    <row r="268" spans="1:27">
      <c r="L268" s="294"/>
    </row>
    <row r="269" spans="1:27">
      <c r="L269" s="294"/>
    </row>
  </sheetData>
  <autoFilter ref="A15:M269"/>
  <mergeCells count="58">
    <mergeCell ref="A4:B5"/>
    <mergeCell ref="F11:K11"/>
    <mergeCell ref="B89:E89"/>
    <mergeCell ref="B51:E51"/>
    <mergeCell ref="B26:E26"/>
    <mergeCell ref="B22:E22"/>
    <mergeCell ref="B16:E16"/>
    <mergeCell ref="A21:M21"/>
    <mergeCell ref="A25:M25"/>
    <mergeCell ref="A50:M50"/>
    <mergeCell ref="A85:M85"/>
    <mergeCell ref="A88:M88"/>
    <mergeCell ref="B86:E86"/>
    <mergeCell ref="G14:I14"/>
    <mergeCell ref="L12:M12"/>
    <mergeCell ref="K14:M14"/>
    <mergeCell ref="C14:F14"/>
    <mergeCell ref="B264:E264"/>
    <mergeCell ref="B234:E234"/>
    <mergeCell ref="B241:E241"/>
    <mergeCell ref="B194:E194"/>
    <mergeCell ref="B157:E157"/>
    <mergeCell ref="A240:M240"/>
    <mergeCell ref="A233:M233"/>
    <mergeCell ref="A263:M263"/>
    <mergeCell ref="A254:M254"/>
    <mergeCell ref="A246:M246"/>
    <mergeCell ref="B247:E247"/>
    <mergeCell ref="B255:E255"/>
    <mergeCell ref="A104:M104"/>
    <mergeCell ref="A100:M100"/>
    <mergeCell ref="A118:M118"/>
    <mergeCell ref="A156:M156"/>
    <mergeCell ref="A193:M193"/>
    <mergeCell ref="B119:E119"/>
    <mergeCell ref="B101:E101"/>
    <mergeCell ref="B105:E105"/>
    <mergeCell ref="L7:M7"/>
    <mergeCell ref="A8:E8"/>
    <mergeCell ref="L8:M8"/>
    <mergeCell ref="H7:K7"/>
    <mergeCell ref="H8:K8"/>
    <mergeCell ref="H9:K9"/>
    <mergeCell ref="A2:B2"/>
    <mergeCell ref="A3:B3"/>
    <mergeCell ref="L13:M13"/>
    <mergeCell ref="A13:K13"/>
    <mergeCell ref="A11:E11"/>
    <mergeCell ref="L11:M11"/>
    <mergeCell ref="A12:E12"/>
    <mergeCell ref="F12:K12"/>
    <mergeCell ref="L9:M9"/>
    <mergeCell ref="A10:E10"/>
    <mergeCell ref="L10:M10"/>
    <mergeCell ref="H10:J10"/>
    <mergeCell ref="A9:E9"/>
    <mergeCell ref="A6:J6"/>
    <mergeCell ref="A7:E7"/>
  </mergeCells>
  <printOptions horizontalCentered="1"/>
  <pageMargins left="0" right="0.19685039370078741" top="0.78740157480314965" bottom="0" header="0" footer="0.19685039370078741"/>
  <pageSetup paperSize="9" scale="74" fitToHeight="14" orientation="landscape" horizontalDpi="4294967293" verticalDpi="4294967293" r:id="rId1"/>
  <rowBreaks count="1" manualBreakCount="1">
    <brk id="71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07"/>
  <sheetViews>
    <sheetView view="pageBreakPreview" topLeftCell="A124" zoomScale="130" zoomScaleSheetLayoutView="130" workbookViewId="0">
      <selection activeCell="T25" sqref="T25"/>
    </sheetView>
  </sheetViews>
  <sheetFormatPr defaultColWidth="15.7109375" defaultRowHeight="12.75"/>
  <cols>
    <col min="1" max="1" width="6.140625" style="260" bestFit="1" customWidth="1"/>
    <col min="2" max="2" width="36" style="8" customWidth="1"/>
    <col min="3" max="17" width="7.42578125" style="8" customWidth="1"/>
    <col min="18" max="18" width="9.140625" style="321" bestFit="1" customWidth="1"/>
    <col min="19" max="19" width="9.5703125" style="321" customWidth="1"/>
    <col min="20" max="16384" width="15.7109375" style="7"/>
  </cols>
  <sheetData>
    <row r="1" spans="1:20" s="257" customFormat="1" ht="14.25" customHeight="1">
      <c r="A1" s="258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3"/>
      <c r="S1" s="263"/>
    </row>
    <row r="2" spans="1:20" s="257" customFormat="1" ht="14.25" customHeight="1">
      <c r="A2" s="542" t="s">
        <v>552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</row>
    <row r="3" spans="1:20" s="257" customFormat="1" ht="14.25" customHeight="1">
      <c r="A3" s="542" t="s">
        <v>556</v>
      </c>
      <c r="B3" s="542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S3" s="542"/>
    </row>
    <row r="4" spans="1:20" s="257" customFormat="1" ht="14.25" customHeight="1">
      <c r="A4" s="542" t="s">
        <v>898</v>
      </c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542"/>
      <c r="P4" s="542"/>
      <c r="Q4" s="542"/>
      <c r="R4" s="542"/>
      <c r="S4" s="542"/>
    </row>
    <row r="5" spans="1:20">
      <c r="A5" s="542"/>
      <c r="B5" s="542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542"/>
      <c r="P5" s="542"/>
      <c r="Q5" s="542"/>
      <c r="R5" s="542"/>
      <c r="S5" s="542"/>
      <c r="T5" s="264"/>
    </row>
    <row r="6" spans="1:20" s="257" customFormat="1" ht="15">
      <c r="A6" s="543" t="s">
        <v>553</v>
      </c>
      <c r="B6" s="543"/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543"/>
      <c r="Q6" s="543"/>
      <c r="R6" s="543"/>
      <c r="S6" s="543"/>
      <c r="T6" s="330"/>
    </row>
    <row r="7" spans="1:20" s="331" customFormat="1" ht="14.25">
      <c r="A7" s="375" t="s">
        <v>367</v>
      </c>
      <c r="B7" s="538" t="s">
        <v>554</v>
      </c>
      <c r="C7" s="539"/>
      <c r="D7" s="539"/>
      <c r="E7" s="539"/>
      <c r="F7" s="539"/>
      <c r="G7" s="539"/>
      <c r="H7" s="539"/>
      <c r="I7" s="539"/>
      <c r="J7" s="539"/>
      <c r="K7" s="539"/>
      <c r="L7" s="539"/>
      <c r="M7" s="539"/>
      <c r="N7" s="539"/>
      <c r="O7" s="539"/>
      <c r="P7" s="539"/>
      <c r="Q7" s="540"/>
      <c r="R7" s="377" t="s">
        <v>364</v>
      </c>
      <c r="S7" s="376" t="s">
        <v>555</v>
      </c>
    </row>
    <row r="8" spans="1:20">
      <c r="A8" s="261" t="s">
        <v>541</v>
      </c>
      <c r="B8" s="544" t="s">
        <v>5</v>
      </c>
      <c r="C8" s="544"/>
      <c r="D8" s="544"/>
      <c r="E8" s="544"/>
      <c r="F8" s="544"/>
      <c r="G8" s="544"/>
      <c r="H8" s="544"/>
      <c r="I8" s="544"/>
      <c r="J8" s="544"/>
      <c r="K8" s="544"/>
      <c r="L8" s="544"/>
      <c r="M8" s="544"/>
      <c r="N8" s="544"/>
      <c r="O8" s="544"/>
      <c r="P8" s="544"/>
      <c r="Q8" s="544"/>
      <c r="R8" s="332"/>
      <c r="S8" s="332"/>
    </row>
    <row r="9" spans="1:20" ht="12.75" customHeight="1">
      <c r="A9" s="373" t="s">
        <v>6</v>
      </c>
      <c r="B9" s="545" t="s">
        <v>936</v>
      </c>
      <c r="C9" s="545"/>
      <c r="D9" s="545"/>
      <c r="E9" s="545"/>
      <c r="F9" s="545"/>
      <c r="G9" s="545"/>
      <c r="H9" s="545"/>
      <c r="I9" s="545"/>
      <c r="J9" s="545"/>
      <c r="K9" s="545"/>
      <c r="L9" s="545"/>
      <c r="M9" s="545"/>
      <c r="N9" s="545"/>
      <c r="O9" s="545"/>
      <c r="P9" s="545"/>
      <c r="Q9" s="545"/>
      <c r="R9" s="369">
        <v>134</v>
      </c>
      <c r="S9" s="370" t="s">
        <v>105</v>
      </c>
    </row>
    <row r="10" spans="1:20">
      <c r="A10" s="259"/>
      <c r="B10" s="541" t="s">
        <v>899</v>
      </c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348">
        <v>134</v>
      </c>
      <c r="S10" s="321" t="s">
        <v>105</v>
      </c>
      <c r="T10" s="341"/>
    </row>
    <row r="12" spans="1:20" ht="12.75" customHeight="1">
      <c r="A12" s="373" t="s">
        <v>11</v>
      </c>
      <c r="B12" s="546" t="s">
        <v>561</v>
      </c>
      <c r="C12" s="546"/>
      <c r="D12" s="546"/>
      <c r="E12" s="546"/>
      <c r="F12" s="546"/>
      <c r="G12" s="546"/>
      <c r="H12" s="546"/>
      <c r="I12" s="546"/>
      <c r="J12" s="546"/>
      <c r="K12" s="546"/>
      <c r="L12" s="546"/>
      <c r="M12" s="546"/>
      <c r="N12" s="546"/>
      <c r="O12" s="546"/>
      <c r="P12" s="546"/>
      <c r="Q12" s="546"/>
      <c r="R12" s="369">
        <v>10</v>
      </c>
      <c r="S12" s="370" t="s">
        <v>8</v>
      </c>
    </row>
    <row r="13" spans="1:20">
      <c r="A13" s="259"/>
      <c r="B13" s="541" t="s">
        <v>900</v>
      </c>
      <c r="C13" s="541"/>
      <c r="D13" s="541"/>
      <c r="E13" s="541"/>
      <c r="F13" s="541"/>
      <c r="G13" s="541"/>
      <c r="H13" s="541"/>
      <c r="I13" s="541"/>
      <c r="J13" s="541"/>
      <c r="K13" s="541"/>
      <c r="L13" s="541"/>
      <c r="M13" s="541"/>
      <c r="N13" s="541"/>
      <c r="O13" s="541"/>
      <c r="P13" s="541"/>
      <c r="Q13" s="541"/>
      <c r="R13" s="348">
        <v>10</v>
      </c>
      <c r="S13" s="321" t="s">
        <v>8</v>
      </c>
    </row>
    <row r="14" spans="1:20">
      <c r="A14" s="259"/>
    </row>
    <row r="15" spans="1:20" ht="12.75" customHeight="1">
      <c r="A15" s="342" t="str">
        <f>'BM 01'!A22</f>
        <v>2.0</v>
      </c>
      <c r="B15" s="547" t="str">
        <f>'BM 01'!B22</f>
        <v>MOVIMENTO DE TERRA</v>
      </c>
      <c r="C15" s="547"/>
      <c r="D15" s="547"/>
      <c r="E15" s="547"/>
      <c r="F15" s="547"/>
      <c r="G15" s="547"/>
      <c r="H15" s="547"/>
      <c r="I15" s="547"/>
      <c r="J15" s="547"/>
      <c r="K15" s="547"/>
      <c r="L15" s="547"/>
      <c r="M15" s="547"/>
      <c r="N15" s="547"/>
      <c r="O15" s="547"/>
      <c r="P15" s="547"/>
      <c r="Q15" s="547"/>
      <c r="R15" s="343"/>
      <c r="S15" s="343"/>
    </row>
    <row r="16" spans="1:20" ht="12.75" customHeight="1">
      <c r="A16" s="373" t="str">
        <f>'BM 01'!A23</f>
        <v>2.1</v>
      </c>
      <c r="B16" s="546" t="str">
        <f>'BM 01'!B23</f>
        <v>Escavação manual de valas com profundidade menor ou igual a 1,30m. AF_03/2016</v>
      </c>
      <c r="C16" s="546"/>
      <c r="D16" s="546"/>
      <c r="E16" s="546"/>
      <c r="F16" s="546"/>
      <c r="G16" s="546"/>
      <c r="H16" s="546"/>
      <c r="I16" s="546"/>
      <c r="J16" s="546"/>
      <c r="K16" s="546"/>
      <c r="L16" s="546"/>
      <c r="M16" s="546"/>
      <c r="N16" s="546"/>
      <c r="O16" s="546"/>
      <c r="P16" s="546"/>
      <c r="Q16" s="546"/>
      <c r="R16" s="369">
        <f>R22</f>
        <v>24.988000000000007</v>
      </c>
      <c r="S16" s="370" t="s">
        <v>23</v>
      </c>
    </row>
    <row r="17" spans="1:20">
      <c r="A17" s="259"/>
      <c r="B17" s="541"/>
      <c r="C17" s="541"/>
      <c r="D17" s="541"/>
      <c r="E17" s="541"/>
      <c r="F17" s="541"/>
      <c r="G17" s="541"/>
      <c r="H17" s="541"/>
      <c r="I17" s="541"/>
      <c r="J17" s="541"/>
      <c r="K17" s="541"/>
      <c r="L17" s="541"/>
      <c r="M17" s="541"/>
      <c r="N17" s="541"/>
      <c r="O17" s="541"/>
      <c r="P17" s="541"/>
      <c r="Q17" s="541"/>
      <c r="R17" s="348"/>
    </row>
    <row r="18" spans="1:20" ht="24" customHeight="1">
      <c r="A18" s="259"/>
      <c r="B18" s="541" t="s">
        <v>908</v>
      </c>
      <c r="C18" s="541"/>
      <c r="D18" s="541"/>
      <c r="E18" s="541"/>
      <c r="F18" s="541"/>
      <c r="G18" s="541"/>
      <c r="H18" s="541"/>
      <c r="I18" s="541"/>
      <c r="J18" s="541"/>
      <c r="K18" s="541"/>
      <c r="L18" s="541"/>
      <c r="M18" s="541"/>
      <c r="N18" s="541"/>
      <c r="O18" s="541"/>
      <c r="P18" s="541"/>
      <c r="Q18" s="541"/>
      <c r="R18" s="348"/>
    </row>
    <row r="19" spans="1:20">
      <c r="A19" s="259"/>
      <c r="B19" s="541"/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348"/>
      <c r="T19" s="7">
        <f>2.44+3.54+1.5+22.3+14.1+3.85+2.2+3.85+3.7+14.2+5.8+1.55+3.7+7.65+10.4+10.4+2.2+16.75+6.6+4+2.25+24+2.2+6.35+15.8+4.86+0.9+1.65+13.6+8+5.65+17.75+9.75+21+1.71+4.71+5.04+6.4</f>
        <v>292.34999999999997</v>
      </c>
    </row>
    <row r="20" spans="1:20">
      <c r="A20" s="259"/>
      <c r="B20" s="541" t="s">
        <v>909</v>
      </c>
      <c r="C20" s="541"/>
      <c r="D20" s="541"/>
      <c r="E20" s="541"/>
      <c r="F20" s="541"/>
      <c r="G20" s="541"/>
      <c r="H20" s="541"/>
      <c r="I20" s="541"/>
      <c r="J20" s="541"/>
      <c r="K20" s="541"/>
      <c r="L20" s="541"/>
      <c r="M20" s="541"/>
      <c r="N20" s="541"/>
      <c r="O20" s="541"/>
      <c r="P20" s="541"/>
      <c r="Q20" s="541"/>
      <c r="R20" s="348"/>
    </row>
    <row r="21" spans="1:20">
      <c r="A21" s="259"/>
      <c r="B21" s="541"/>
      <c r="C21" s="541"/>
      <c r="D21" s="541"/>
      <c r="E21" s="541"/>
      <c r="F21" s="541"/>
      <c r="G21" s="541"/>
      <c r="H21" s="541"/>
      <c r="I21" s="541"/>
      <c r="J21" s="541"/>
      <c r="K21" s="541"/>
      <c r="L21" s="541"/>
      <c r="M21" s="541"/>
      <c r="N21" s="541"/>
      <c r="O21" s="541"/>
      <c r="P21" s="541"/>
      <c r="Q21" s="541"/>
      <c r="R21" s="348"/>
    </row>
    <row r="22" spans="1:20">
      <c r="A22" s="259"/>
      <c r="B22" s="549" t="s">
        <v>910</v>
      </c>
      <c r="C22" s="549"/>
      <c r="D22" s="549"/>
      <c r="E22" s="549"/>
      <c r="F22" s="549"/>
      <c r="G22" s="549"/>
      <c r="H22" s="549"/>
      <c r="I22" s="549"/>
      <c r="J22" s="549"/>
      <c r="K22" s="549"/>
      <c r="L22" s="549"/>
      <c r="M22" s="549"/>
      <c r="N22" s="549"/>
      <c r="O22" s="549"/>
      <c r="P22" s="549"/>
      <c r="Q22" s="549"/>
      <c r="R22" s="378">
        <f>(312.35/2)*(0.4*0.4)</f>
        <v>24.988000000000007</v>
      </c>
      <c r="S22" s="371" t="s">
        <v>23</v>
      </c>
    </row>
    <row r="23" spans="1:20">
      <c r="A23" s="259"/>
      <c r="B23" s="541"/>
      <c r="C23" s="541"/>
      <c r="D23" s="541"/>
      <c r="E23" s="541"/>
      <c r="F23" s="541"/>
      <c r="G23" s="541"/>
      <c r="H23" s="541"/>
      <c r="I23" s="541"/>
      <c r="J23" s="541"/>
      <c r="K23" s="541"/>
      <c r="L23" s="541"/>
      <c r="M23" s="541"/>
      <c r="N23" s="541"/>
      <c r="O23" s="541"/>
      <c r="P23" s="541"/>
      <c r="Q23" s="541"/>
    </row>
    <row r="24" spans="1:20" ht="12.75" customHeight="1">
      <c r="A24" s="342" t="s">
        <v>544</v>
      </c>
      <c r="B24" s="547" t="s">
        <v>563</v>
      </c>
      <c r="C24" s="547"/>
      <c r="D24" s="547"/>
      <c r="E24" s="547"/>
      <c r="F24" s="547"/>
      <c r="G24" s="547"/>
      <c r="H24" s="547"/>
      <c r="I24" s="547"/>
      <c r="J24" s="547"/>
      <c r="K24" s="547"/>
      <c r="L24" s="547"/>
      <c r="M24" s="547"/>
      <c r="N24" s="547"/>
      <c r="O24" s="547"/>
      <c r="P24" s="547"/>
      <c r="Q24" s="547"/>
      <c r="R24" s="343"/>
      <c r="S24" s="343"/>
    </row>
    <row r="25" spans="1:20" ht="12.75" customHeight="1">
      <c r="A25" s="342" t="s">
        <v>33</v>
      </c>
      <c r="B25" s="547" t="s">
        <v>564</v>
      </c>
      <c r="C25" s="547"/>
      <c r="D25" s="547"/>
      <c r="E25" s="547"/>
      <c r="F25" s="547"/>
      <c r="G25" s="547"/>
      <c r="H25" s="547"/>
      <c r="I25" s="547"/>
      <c r="J25" s="547"/>
      <c r="K25" s="547"/>
      <c r="L25" s="547"/>
      <c r="M25" s="547"/>
      <c r="N25" s="547"/>
      <c r="O25" s="547"/>
      <c r="P25" s="547"/>
      <c r="Q25" s="547"/>
      <c r="R25" s="343"/>
      <c r="S25" s="343"/>
    </row>
    <row r="26" spans="1:20" ht="12.75" customHeight="1">
      <c r="A26" s="373" t="s">
        <v>35</v>
      </c>
      <c r="B26" s="546" t="s">
        <v>918</v>
      </c>
      <c r="C26" s="546"/>
      <c r="D26" s="546"/>
      <c r="E26" s="546"/>
      <c r="F26" s="546"/>
      <c r="G26" s="546"/>
      <c r="H26" s="546"/>
      <c r="I26" s="546"/>
      <c r="J26" s="546"/>
      <c r="K26" s="546"/>
      <c r="L26" s="546"/>
      <c r="M26" s="546"/>
      <c r="N26" s="546"/>
      <c r="O26" s="546"/>
      <c r="P26" s="546"/>
      <c r="Q26" s="546"/>
      <c r="R26" s="370">
        <f>R27</f>
        <v>26.04</v>
      </c>
      <c r="S26" s="370" t="s">
        <v>23</v>
      </c>
    </row>
    <row r="27" spans="1:20">
      <c r="A27" s="259"/>
      <c r="B27" s="541" t="s">
        <v>907</v>
      </c>
      <c r="C27" s="541"/>
      <c r="D27" s="541"/>
      <c r="E27" s="541"/>
      <c r="F27" s="541"/>
      <c r="G27" s="541"/>
      <c r="H27" s="541"/>
      <c r="I27" s="541"/>
      <c r="J27" s="541"/>
      <c r="K27" s="541"/>
      <c r="L27" s="541"/>
      <c r="M27" s="541"/>
      <c r="N27" s="541"/>
      <c r="O27" s="541"/>
      <c r="P27" s="541"/>
      <c r="Q27" s="541"/>
      <c r="R27" s="321">
        <f>(52*0.8*0.7*0.6)+(14*0.8*0.7*0.6)+(7*0.8*0.7*0.6)+(4*0.9*0.7*0.6)</f>
        <v>26.04</v>
      </c>
      <c r="S27" s="321" t="s">
        <v>23</v>
      </c>
    </row>
    <row r="29" spans="1:20" ht="12.75" customHeight="1">
      <c r="A29" s="373" t="s">
        <v>37</v>
      </c>
      <c r="B29" s="546" t="s">
        <v>565</v>
      </c>
      <c r="C29" s="546"/>
      <c r="D29" s="546"/>
      <c r="E29" s="546"/>
      <c r="F29" s="546"/>
      <c r="G29" s="546"/>
      <c r="H29" s="546"/>
      <c r="I29" s="546"/>
      <c r="J29" s="546"/>
      <c r="K29" s="546"/>
      <c r="L29" s="546"/>
      <c r="M29" s="546"/>
      <c r="N29" s="546"/>
      <c r="O29" s="546"/>
      <c r="P29" s="546"/>
      <c r="Q29" s="546"/>
      <c r="R29" s="369">
        <v>43.4</v>
      </c>
      <c r="S29" s="370" t="s">
        <v>8</v>
      </c>
    </row>
    <row r="30" spans="1:20">
      <c r="A30" s="259"/>
      <c r="B30" s="541" t="s">
        <v>901</v>
      </c>
      <c r="C30" s="541"/>
      <c r="D30" s="541"/>
      <c r="E30" s="541"/>
      <c r="F30" s="541"/>
      <c r="G30" s="541"/>
      <c r="H30" s="541"/>
      <c r="I30" s="541"/>
      <c r="J30" s="541"/>
      <c r="K30" s="541"/>
      <c r="L30" s="541"/>
      <c r="M30" s="541"/>
      <c r="N30" s="541"/>
      <c r="O30" s="541"/>
      <c r="P30" s="541"/>
      <c r="Q30" s="541"/>
      <c r="R30" s="348">
        <v>43.4</v>
      </c>
      <c r="S30" s="321" t="s">
        <v>8</v>
      </c>
    </row>
    <row r="31" spans="1:20">
      <c r="A31" s="329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333"/>
      <c r="S31" s="333"/>
    </row>
    <row r="32" spans="1:20" ht="12.75" customHeight="1">
      <c r="A32" s="373" t="s">
        <v>39</v>
      </c>
      <c r="B32" s="546" t="s">
        <v>566</v>
      </c>
      <c r="C32" s="546"/>
      <c r="D32" s="546"/>
      <c r="E32" s="546"/>
      <c r="F32" s="546"/>
      <c r="G32" s="546"/>
      <c r="H32" s="546"/>
      <c r="I32" s="546"/>
      <c r="J32" s="546"/>
      <c r="K32" s="546"/>
      <c r="L32" s="546"/>
      <c r="M32" s="546"/>
      <c r="N32" s="546"/>
      <c r="O32" s="546"/>
      <c r="P32" s="546"/>
      <c r="Q32" s="546"/>
      <c r="R32" s="370">
        <v>2.17</v>
      </c>
      <c r="S32" s="370" t="s">
        <v>23</v>
      </c>
    </row>
    <row r="33" spans="1:19">
      <c r="A33" s="259"/>
      <c r="B33" s="541" t="s">
        <v>902</v>
      </c>
      <c r="C33" s="541"/>
      <c r="D33" s="541"/>
      <c r="E33" s="541"/>
      <c r="F33" s="541"/>
      <c r="G33" s="541"/>
      <c r="H33" s="541"/>
      <c r="I33" s="541"/>
      <c r="J33" s="541"/>
      <c r="K33" s="541"/>
      <c r="L33" s="541"/>
      <c r="M33" s="541"/>
      <c r="N33" s="541"/>
      <c r="O33" s="541"/>
      <c r="P33" s="541"/>
      <c r="Q33" s="541"/>
      <c r="R33" s="321">
        <v>2.17</v>
      </c>
      <c r="S33" s="321" t="s">
        <v>23</v>
      </c>
    </row>
    <row r="34" spans="1:19">
      <c r="A34" s="329"/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333"/>
      <c r="S34" s="333"/>
    </row>
    <row r="35" spans="1:19" ht="12.75" customHeight="1">
      <c r="A35" s="373" t="s">
        <v>567</v>
      </c>
      <c r="B35" s="546" t="s">
        <v>969</v>
      </c>
      <c r="C35" s="546"/>
      <c r="D35" s="546"/>
      <c r="E35" s="546"/>
      <c r="F35" s="546"/>
      <c r="G35" s="546"/>
      <c r="H35" s="546"/>
      <c r="I35" s="546"/>
      <c r="J35" s="546"/>
      <c r="K35" s="546"/>
      <c r="L35" s="546"/>
      <c r="M35" s="546"/>
      <c r="N35" s="546"/>
      <c r="O35" s="546"/>
      <c r="P35" s="546"/>
      <c r="Q35" s="546"/>
      <c r="R35" s="370">
        <f>SUM(R38:R44)</f>
        <v>62.849999999999987</v>
      </c>
      <c r="S35" s="370" t="s">
        <v>8</v>
      </c>
    </row>
    <row r="36" spans="1:19">
      <c r="A36" s="329"/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3"/>
      <c r="S36" s="333"/>
    </row>
    <row r="37" spans="1:19">
      <c r="A37" s="259"/>
      <c r="B37" s="541" t="s">
        <v>911</v>
      </c>
      <c r="C37" s="541"/>
      <c r="D37" s="541"/>
      <c r="E37" s="541"/>
      <c r="F37" s="541"/>
      <c r="G37" s="541"/>
      <c r="H37" s="541"/>
      <c r="I37" s="541"/>
      <c r="J37" s="541"/>
      <c r="K37" s="541"/>
      <c r="L37" s="541"/>
      <c r="M37" s="541"/>
      <c r="N37" s="541"/>
      <c r="O37" s="541"/>
      <c r="P37" s="541"/>
      <c r="Q37" s="541"/>
    </row>
    <row r="38" spans="1:19">
      <c r="A38" s="259"/>
      <c r="B38" s="541" t="s">
        <v>912</v>
      </c>
      <c r="C38" s="541"/>
      <c r="D38" s="541"/>
      <c r="E38" s="541"/>
      <c r="F38" s="541"/>
      <c r="G38" s="541"/>
      <c r="H38" s="541"/>
      <c r="I38" s="541"/>
      <c r="J38" s="541"/>
      <c r="K38" s="541"/>
      <c r="L38" s="541"/>
      <c r="M38" s="541"/>
      <c r="N38" s="541"/>
      <c r="O38" s="541"/>
      <c r="P38" s="541"/>
      <c r="Q38" s="541"/>
      <c r="R38" s="348">
        <f>52*(0.6*2+0.7*2+0.05*2)*0.25</f>
        <v>35.099999999999994</v>
      </c>
    </row>
    <row r="39" spans="1:19">
      <c r="A39" s="259"/>
      <c r="B39" s="541" t="s">
        <v>913</v>
      </c>
      <c r="C39" s="541"/>
      <c r="D39" s="541"/>
      <c r="E39" s="541"/>
      <c r="F39" s="541"/>
      <c r="G39" s="541"/>
      <c r="H39" s="541"/>
      <c r="I39" s="541"/>
      <c r="J39" s="541"/>
      <c r="K39" s="541"/>
      <c r="L39" s="541"/>
      <c r="M39" s="541"/>
      <c r="N39" s="541"/>
      <c r="O39" s="541"/>
      <c r="P39" s="541"/>
      <c r="Q39" s="541"/>
    </row>
    <row r="40" spans="1:19">
      <c r="A40" s="259"/>
      <c r="B40" s="541" t="s">
        <v>914</v>
      </c>
      <c r="C40" s="541"/>
      <c r="D40" s="541"/>
      <c r="E40" s="541"/>
      <c r="F40" s="541"/>
      <c r="G40" s="541"/>
      <c r="H40" s="541"/>
      <c r="I40" s="541"/>
      <c r="J40" s="541"/>
      <c r="K40" s="541"/>
      <c r="L40" s="541"/>
      <c r="M40" s="541"/>
      <c r="N40" s="541"/>
      <c r="O40" s="541"/>
      <c r="P40" s="541"/>
      <c r="Q40" s="541"/>
      <c r="R40" s="348">
        <f>13*(0.6*2+0.7*2+0.05*2)*0.35</f>
        <v>12.284999999999997</v>
      </c>
    </row>
    <row r="41" spans="1:19">
      <c r="A41" s="259"/>
      <c r="B41" s="541" t="s">
        <v>915</v>
      </c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541"/>
      <c r="Q41" s="541"/>
    </row>
    <row r="42" spans="1:19">
      <c r="A42" s="259"/>
      <c r="B42" s="541" t="s">
        <v>916</v>
      </c>
      <c r="C42" s="541"/>
      <c r="D42" s="541"/>
      <c r="E42" s="541"/>
      <c r="F42" s="541"/>
      <c r="G42" s="541"/>
      <c r="H42" s="541"/>
      <c r="I42" s="541"/>
      <c r="J42" s="541"/>
      <c r="K42" s="541"/>
      <c r="L42" s="541"/>
      <c r="M42" s="541"/>
      <c r="N42" s="541"/>
      <c r="O42" s="541"/>
      <c r="P42" s="541"/>
      <c r="Q42" s="541"/>
      <c r="R42" s="348">
        <f>7*(0.6*2+0.7*2+0.05*2)*0.45</f>
        <v>8.504999999999999</v>
      </c>
    </row>
    <row r="43" spans="1:19">
      <c r="A43" s="259"/>
      <c r="B43" s="541" t="s">
        <v>967</v>
      </c>
      <c r="C43" s="541"/>
      <c r="D43" s="541"/>
      <c r="E43" s="541"/>
      <c r="F43" s="541"/>
      <c r="G43" s="541"/>
      <c r="H43" s="541"/>
      <c r="I43" s="541"/>
      <c r="J43" s="541"/>
      <c r="K43" s="541"/>
      <c r="L43" s="541"/>
      <c r="M43" s="541"/>
      <c r="N43" s="541"/>
      <c r="O43" s="541"/>
      <c r="P43" s="541"/>
      <c r="Q43" s="541"/>
    </row>
    <row r="44" spans="1:19">
      <c r="A44" s="259"/>
      <c r="B44" s="541" t="s">
        <v>917</v>
      </c>
      <c r="C44" s="541"/>
      <c r="D44" s="541"/>
      <c r="E44" s="541"/>
      <c r="F44" s="541"/>
      <c r="G44" s="541"/>
      <c r="H44" s="541"/>
      <c r="I44" s="541"/>
      <c r="J44" s="541"/>
      <c r="K44" s="541"/>
      <c r="L44" s="541"/>
      <c r="M44" s="541"/>
      <c r="N44" s="541"/>
      <c r="O44" s="541"/>
      <c r="P44" s="541"/>
      <c r="Q44" s="541"/>
      <c r="R44" s="321">
        <f>4*(0.6*2+0.8*2+0.05*2)*0.6</f>
        <v>6.96</v>
      </c>
    </row>
    <row r="45" spans="1:19">
      <c r="A45" s="259"/>
      <c r="B45" s="541"/>
      <c r="C45" s="541"/>
      <c r="D45" s="541"/>
      <c r="E45" s="541"/>
      <c r="F45" s="541"/>
      <c r="G45" s="541"/>
      <c r="H45" s="541"/>
      <c r="I45" s="541"/>
      <c r="J45" s="541"/>
      <c r="K45" s="541"/>
      <c r="L45" s="541"/>
      <c r="M45" s="541"/>
      <c r="N45" s="541"/>
      <c r="O45" s="541"/>
      <c r="P45" s="541"/>
      <c r="Q45" s="541"/>
    </row>
    <row r="46" spans="1:19" ht="12.75" customHeight="1">
      <c r="A46" s="373" t="s">
        <v>569</v>
      </c>
      <c r="B46" s="546" t="s">
        <v>929</v>
      </c>
      <c r="C46" s="546"/>
      <c r="D46" s="546"/>
      <c r="E46" s="546"/>
      <c r="F46" s="546"/>
      <c r="G46" s="546"/>
      <c r="H46" s="546"/>
      <c r="I46" s="546"/>
      <c r="J46" s="546"/>
      <c r="K46" s="546"/>
      <c r="L46" s="546"/>
      <c r="M46" s="546"/>
      <c r="N46" s="546"/>
      <c r="O46" s="546"/>
      <c r="P46" s="546"/>
      <c r="Q46" s="546"/>
      <c r="R46" s="369">
        <v>127.6</v>
      </c>
      <c r="S46" s="370" t="s">
        <v>570</v>
      </c>
    </row>
    <row r="47" spans="1:19">
      <c r="A47" s="259"/>
      <c r="B47" s="541" t="s">
        <v>903</v>
      </c>
      <c r="C47" s="541"/>
      <c r="D47" s="541"/>
      <c r="E47" s="541"/>
      <c r="F47" s="541"/>
      <c r="G47" s="541"/>
      <c r="H47" s="541"/>
      <c r="I47" s="541"/>
      <c r="J47" s="541"/>
      <c r="K47" s="541"/>
      <c r="L47" s="541"/>
      <c r="M47" s="541"/>
      <c r="N47" s="541"/>
      <c r="O47" s="541"/>
      <c r="P47" s="541"/>
      <c r="Q47" s="541"/>
      <c r="R47" s="348"/>
    </row>
    <row r="48" spans="1:19">
      <c r="A48" s="259"/>
      <c r="B48" s="541"/>
      <c r="C48" s="541"/>
      <c r="D48" s="541"/>
      <c r="E48" s="541"/>
      <c r="F48" s="541"/>
      <c r="G48" s="541"/>
      <c r="H48" s="541"/>
      <c r="I48" s="541"/>
      <c r="J48" s="541"/>
      <c r="K48" s="541"/>
      <c r="L48" s="541"/>
      <c r="M48" s="541"/>
      <c r="N48" s="541"/>
      <c r="O48" s="541"/>
      <c r="P48" s="541"/>
      <c r="Q48" s="541"/>
      <c r="R48" s="348"/>
    </row>
    <row r="49" spans="1:19" ht="12.75" customHeight="1">
      <c r="A49" s="373" t="s">
        <v>571</v>
      </c>
      <c r="B49" s="546" t="s">
        <v>930</v>
      </c>
      <c r="C49" s="546"/>
      <c r="D49" s="546"/>
      <c r="E49" s="546"/>
      <c r="F49" s="546"/>
      <c r="G49" s="546"/>
      <c r="H49" s="546"/>
      <c r="I49" s="546"/>
      <c r="J49" s="546"/>
      <c r="K49" s="546"/>
      <c r="L49" s="546"/>
      <c r="M49" s="546"/>
      <c r="N49" s="546"/>
      <c r="O49" s="546"/>
      <c r="P49" s="546"/>
      <c r="Q49" s="546"/>
      <c r="R49" s="369">
        <v>285.8</v>
      </c>
      <c r="S49" s="370" t="s">
        <v>570</v>
      </c>
    </row>
    <row r="50" spans="1:19">
      <c r="A50" s="329"/>
      <c r="B50" s="334" t="s">
        <v>903</v>
      </c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34"/>
      <c r="R50" s="359"/>
      <c r="S50" s="333"/>
    </row>
    <row r="51" spans="1:19">
      <c r="A51" s="329"/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359"/>
      <c r="S51" s="333"/>
    </row>
    <row r="52" spans="1:19" ht="12.75" customHeight="1">
      <c r="A52" s="373" t="s">
        <v>572</v>
      </c>
      <c r="B52" s="546" t="s">
        <v>931</v>
      </c>
      <c r="C52" s="546"/>
      <c r="D52" s="546"/>
      <c r="E52" s="546"/>
      <c r="F52" s="546"/>
      <c r="G52" s="546"/>
      <c r="H52" s="546"/>
      <c r="I52" s="546"/>
      <c r="J52" s="546"/>
      <c r="K52" s="546"/>
      <c r="L52" s="546"/>
      <c r="M52" s="546"/>
      <c r="N52" s="546"/>
      <c r="O52" s="546"/>
      <c r="P52" s="546"/>
      <c r="Q52" s="546"/>
      <c r="R52" s="369">
        <v>149.30000000000001</v>
      </c>
      <c r="S52" s="370" t="s">
        <v>570</v>
      </c>
    </row>
    <row r="53" spans="1:19">
      <c r="A53" s="329"/>
      <c r="B53" s="334" t="s">
        <v>903</v>
      </c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59"/>
      <c r="S53" s="333"/>
    </row>
    <row r="54" spans="1:19">
      <c r="A54" s="329"/>
      <c r="B54" s="254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359"/>
      <c r="S54" s="333"/>
    </row>
    <row r="55" spans="1:19" ht="12.75" customHeight="1">
      <c r="A55" s="373" t="s">
        <v>573</v>
      </c>
      <c r="B55" s="546" t="s">
        <v>932</v>
      </c>
      <c r="C55" s="546"/>
      <c r="D55" s="546"/>
      <c r="E55" s="546"/>
      <c r="F55" s="546"/>
      <c r="G55" s="546"/>
      <c r="H55" s="546"/>
      <c r="I55" s="546"/>
      <c r="J55" s="546"/>
      <c r="K55" s="546"/>
      <c r="L55" s="546"/>
      <c r="M55" s="546"/>
      <c r="N55" s="546"/>
      <c r="O55" s="546"/>
      <c r="P55" s="546"/>
      <c r="Q55" s="546"/>
      <c r="R55" s="369">
        <v>396.5</v>
      </c>
      <c r="S55" s="370" t="s">
        <v>570</v>
      </c>
    </row>
    <row r="56" spans="1:19">
      <c r="A56" s="329"/>
      <c r="B56" s="334" t="s">
        <v>903</v>
      </c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59"/>
      <c r="S56" s="333"/>
    </row>
    <row r="57" spans="1:19">
      <c r="A57" s="329"/>
      <c r="B57" s="254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359"/>
      <c r="S57" s="333"/>
    </row>
    <row r="58" spans="1:19" ht="12.75" customHeight="1">
      <c r="A58" s="373" t="s">
        <v>574</v>
      </c>
      <c r="B58" s="546" t="s">
        <v>933</v>
      </c>
      <c r="C58" s="546"/>
      <c r="D58" s="546"/>
      <c r="E58" s="546"/>
      <c r="F58" s="546"/>
      <c r="G58" s="546"/>
      <c r="H58" s="546"/>
      <c r="I58" s="546"/>
      <c r="J58" s="546"/>
      <c r="K58" s="546"/>
      <c r="L58" s="546"/>
      <c r="M58" s="546"/>
      <c r="N58" s="546"/>
      <c r="O58" s="546"/>
      <c r="P58" s="546"/>
      <c r="Q58" s="546"/>
      <c r="R58" s="369">
        <v>187.4</v>
      </c>
      <c r="S58" s="370" t="s">
        <v>570</v>
      </c>
    </row>
    <row r="59" spans="1:19">
      <c r="A59" s="329"/>
      <c r="B59" s="334" t="s">
        <v>903</v>
      </c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59"/>
      <c r="S59" s="333"/>
    </row>
    <row r="60" spans="1:19">
      <c r="A60" s="329"/>
      <c r="B60" s="254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359"/>
      <c r="S60" s="333"/>
    </row>
    <row r="61" spans="1:19" ht="12.75" customHeight="1">
      <c r="A61" s="373" t="s">
        <v>575</v>
      </c>
      <c r="B61" s="546" t="s">
        <v>934</v>
      </c>
      <c r="C61" s="546"/>
      <c r="D61" s="546"/>
      <c r="E61" s="546"/>
      <c r="F61" s="546"/>
      <c r="G61" s="546"/>
      <c r="H61" s="546"/>
      <c r="I61" s="546"/>
      <c r="J61" s="546"/>
      <c r="K61" s="546"/>
      <c r="L61" s="546"/>
      <c r="M61" s="546"/>
      <c r="N61" s="546"/>
      <c r="O61" s="546"/>
      <c r="P61" s="546"/>
      <c r="Q61" s="546"/>
      <c r="R61" s="369">
        <v>298.3</v>
      </c>
      <c r="S61" s="370" t="s">
        <v>570</v>
      </c>
    </row>
    <row r="62" spans="1:19">
      <c r="A62" s="329"/>
      <c r="B62" s="334" t="s">
        <v>903</v>
      </c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59"/>
      <c r="S62" s="333"/>
    </row>
    <row r="63" spans="1:19">
      <c r="A63" s="329"/>
      <c r="B63" s="254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359"/>
      <c r="S63" s="333"/>
    </row>
    <row r="64" spans="1:19" ht="12.75" customHeight="1">
      <c r="A64" s="373" t="s">
        <v>576</v>
      </c>
      <c r="B64" s="546" t="s">
        <v>935</v>
      </c>
      <c r="C64" s="546"/>
      <c r="D64" s="546"/>
      <c r="E64" s="546"/>
      <c r="F64" s="546"/>
      <c r="G64" s="546"/>
      <c r="H64" s="546"/>
      <c r="I64" s="546"/>
      <c r="J64" s="546"/>
      <c r="K64" s="546"/>
      <c r="L64" s="546"/>
      <c r="M64" s="546"/>
      <c r="N64" s="546"/>
      <c r="O64" s="546"/>
      <c r="P64" s="546"/>
      <c r="Q64" s="546"/>
      <c r="R64" s="369">
        <v>170.9</v>
      </c>
      <c r="S64" s="370" t="s">
        <v>570</v>
      </c>
    </row>
    <row r="65" spans="1:20">
      <c r="A65" s="329"/>
      <c r="B65" s="334" t="s">
        <v>903</v>
      </c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59"/>
      <c r="S65" s="333"/>
    </row>
    <row r="66" spans="1:20">
      <c r="A66" s="329"/>
      <c r="B66" s="254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359"/>
      <c r="S66" s="333"/>
    </row>
    <row r="67" spans="1:20" ht="12.75" customHeight="1">
      <c r="A67" s="373" t="s">
        <v>577</v>
      </c>
      <c r="B67" s="546" t="s">
        <v>926</v>
      </c>
      <c r="C67" s="546"/>
      <c r="D67" s="546"/>
      <c r="E67" s="546"/>
      <c r="F67" s="546"/>
      <c r="G67" s="546"/>
      <c r="H67" s="546"/>
      <c r="I67" s="546"/>
      <c r="J67" s="546"/>
      <c r="K67" s="546"/>
      <c r="L67" s="546"/>
      <c r="M67" s="546"/>
      <c r="N67" s="546"/>
      <c r="O67" s="546"/>
      <c r="P67" s="546"/>
      <c r="Q67" s="546"/>
      <c r="R67" s="369">
        <f>C200</f>
        <v>10.59</v>
      </c>
      <c r="S67" s="370" t="s">
        <v>542</v>
      </c>
    </row>
    <row r="68" spans="1:20">
      <c r="A68" s="329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3"/>
      <c r="S68" s="333"/>
    </row>
    <row r="69" spans="1:20">
      <c r="A69" s="329"/>
      <c r="B69" s="548" t="s">
        <v>911</v>
      </c>
      <c r="C69" s="548"/>
      <c r="D69" s="548"/>
      <c r="E69" s="548"/>
      <c r="F69" s="548"/>
      <c r="G69" s="548"/>
      <c r="H69" s="548"/>
      <c r="I69" s="548"/>
      <c r="J69" s="548"/>
      <c r="K69" s="548"/>
      <c r="L69" s="548"/>
      <c r="M69" s="548"/>
      <c r="N69" s="548"/>
      <c r="O69" s="548"/>
      <c r="P69" s="548"/>
      <c r="Q69" s="548"/>
      <c r="R69" s="333"/>
      <c r="S69" s="333"/>
    </row>
    <row r="70" spans="1:20">
      <c r="A70" s="329"/>
      <c r="B70" s="334" t="s">
        <v>937</v>
      </c>
      <c r="C70" s="344">
        <v>0.7</v>
      </c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3"/>
      <c r="S70" s="333"/>
    </row>
    <row r="71" spans="1:20">
      <c r="A71" s="329"/>
      <c r="B71" s="334" t="s">
        <v>938</v>
      </c>
      <c r="C71" s="345" t="s">
        <v>943</v>
      </c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3"/>
      <c r="S71" s="333"/>
    </row>
    <row r="72" spans="1:20">
      <c r="A72" s="329"/>
      <c r="B72" s="334" t="s">
        <v>939</v>
      </c>
      <c r="C72" s="345" t="s">
        <v>944</v>
      </c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3"/>
      <c r="S72" s="333"/>
    </row>
    <row r="73" spans="1:20">
      <c r="A73" s="329"/>
      <c r="B73" s="334" t="s">
        <v>940</v>
      </c>
      <c r="C73" s="345" t="s">
        <v>945</v>
      </c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3"/>
      <c r="S73" s="333"/>
    </row>
    <row r="74" spans="1:20">
      <c r="A74" s="329"/>
      <c r="B74" s="334" t="s">
        <v>941</v>
      </c>
      <c r="C74" s="345" t="s">
        <v>946</v>
      </c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3"/>
      <c r="S74" s="333"/>
    </row>
    <row r="75" spans="1:20">
      <c r="A75" s="329"/>
      <c r="B75" s="334" t="s">
        <v>942</v>
      </c>
      <c r="C75" s="345" t="s">
        <v>947</v>
      </c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3"/>
      <c r="S75" s="333"/>
    </row>
    <row r="76" spans="1:20" s="353" customFormat="1">
      <c r="A76" s="351"/>
      <c r="B76" s="347"/>
      <c r="C76" s="347"/>
      <c r="D76" s="347"/>
      <c r="E76" s="347"/>
      <c r="F76" s="347"/>
      <c r="G76" s="347"/>
      <c r="H76" s="347"/>
      <c r="I76" s="347"/>
      <c r="J76" s="347"/>
      <c r="K76" s="347"/>
      <c r="L76" s="347"/>
      <c r="M76" s="347"/>
      <c r="N76" s="347"/>
      <c r="O76" s="347"/>
      <c r="P76" s="347"/>
      <c r="Q76" s="347"/>
      <c r="R76" s="352"/>
      <c r="S76" s="352"/>
    </row>
    <row r="77" spans="1:20" s="353" customFormat="1">
      <c r="A77" s="351"/>
      <c r="B77" s="347"/>
      <c r="C77" s="354" t="s">
        <v>949</v>
      </c>
      <c r="D77" s="347"/>
      <c r="E77" s="354" t="s">
        <v>950</v>
      </c>
      <c r="F77" s="347"/>
      <c r="G77" s="354" t="s">
        <v>939</v>
      </c>
      <c r="H77" s="347"/>
      <c r="I77" s="347"/>
      <c r="J77" s="347" t="s">
        <v>953</v>
      </c>
      <c r="K77" s="347"/>
      <c r="L77" s="347"/>
      <c r="M77" s="347"/>
      <c r="N77" s="347"/>
      <c r="O77" s="347"/>
      <c r="P77" s="347"/>
      <c r="Q77" s="347"/>
      <c r="R77" s="352"/>
      <c r="S77" s="352"/>
    </row>
    <row r="78" spans="1:20" s="353" customFormat="1">
      <c r="A78" s="351"/>
      <c r="B78" s="347" t="s">
        <v>948</v>
      </c>
      <c r="C78" s="348">
        <f>C70</f>
        <v>0.7</v>
      </c>
      <c r="D78" s="349" t="s">
        <v>951</v>
      </c>
      <c r="E78" s="349" t="str">
        <f>C71</f>
        <v>0,60</v>
      </c>
      <c r="F78" s="349" t="s">
        <v>951</v>
      </c>
      <c r="G78" s="349" t="str">
        <f>C72</f>
        <v>0,25</v>
      </c>
      <c r="H78" s="349"/>
      <c r="I78" s="349" t="s">
        <v>952</v>
      </c>
      <c r="J78" s="349">
        <f>C78*E78*G78</f>
        <v>0.105</v>
      </c>
      <c r="K78" s="347" t="s">
        <v>23</v>
      </c>
      <c r="L78" s="347"/>
      <c r="M78" s="347"/>
      <c r="N78" s="347"/>
      <c r="O78" s="347"/>
      <c r="P78" s="347"/>
      <c r="Q78" s="347"/>
      <c r="R78" s="352"/>
      <c r="S78" s="352"/>
    </row>
    <row r="79" spans="1:20" s="353" customFormat="1">
      <c r="A79" s="351"/>
      <c r="B79" s="347"/>
      <c r="C79" s="347"/>
      <c r="D79" s="347"/>
      <c r="E79" s="347"/>
      <c r="F79" s="347"/>
      <c r="G79" s="347"/>
      <c r="H79" s="347"/>
      <c r="I79" s="347"/>
      <c r="J79" s="347"/>
      <c r="K79" s="347"/>
      <c r="L79" s="347"/>
      <c r="M79" s="347"/>
      <c r="N79" s="347"/>
      <c r="O79" s="347"/>
      <c r="P79" s="347"/>
      <c r="Q79" s="347"/>
      <c r="R79" s="352"/>
      <c r="S79" s="352"/>
      <c r="T79" s="353">
        <f>0.105+0.018</f>
        <v>0.123</v>
      </c>
    </row>
    <row r="80" spans="1:20" s="353" customFormat="1">
      <c r="A80" s="351"/>
      <c r="B80" s="347" t="s">
        <v>954</v>
      </c>
      <c r="C80" s="347"/>
      <c r="D80" s="347"/>
      <c r="E80" s="347"/>
      <c r="F80" s="347"/>
      <c r="G80" s="347"/>
      <c r="H80" s="347"/>
      <c r="I80" s="347"/>
      <c r="J80" s="347"/>
      <c r="K80" s="347"/>
      <c r="L80" s="347"/>
      <c r="M80" s="347"/>
      <c r="N80" s="347"/>
      <c r="O80" s="347"/>
      <c r="P80" s="347"/>
      <c r="Q80" s="347"/>
      <c r="R80" s="352"/>
      <c r="S80" s="352"/>
    </row>
    <row r="81" spans="1:19" s="353" customFormat="1">
      <c r="A81" s="351"/>
      <c r="B81" s="347"/>
      <c r="C81" s="356" t="s">
        <v>956</v>
      </c>
      <c r="D81" s="349"/>
      <c r="E81" s="356" t="s">
        <v>957</v>
      </c>
      <c r="F81" s="349"/>
      <c r="G81" s="349"/>
      <c r="H81" s="349"/>
      <c r="I81" s="347"/>
      <c r="J81" s="347"/>
      <c r="K81" s="347"/>
      <c r="L81" s="347"/>
      <c r="M81" s="347"/>
      <c r="N81" s="347"/>
      <c r="O81" s="347"/>
      <c r="P81" s="347"/>
      <c r="Q81" s="347"/>
      <c r="R81" s="352"/>
      <c r="S81" s="352"/>
    </row>
    <row r="82" spans="1:19" s="353" customFormat="1">
      <c r="A82" s="351"/>
      <c r="B82" s="347" t="s">
        <v>955</v>
      </c>
      <c r="C82" s="350" t="str">
        <f>C71</f>
        <v>0,60</v>
      </c>
      <c r="D82" s="349" t="s">
        <v>951</v>
      </c>
      <c r="E82" s="350" t="str">
        <f>C71</f>
        <v>0,60</v>
      </c>
      <c r="F82" s="349" t="s">
        <v>952</v>
      </c>
      <c r="G82" s="349">
        <f>C82*E82</f>
        <v>0.36</v>
      </c>
      <c r="H82" s="347" t="s">
        <v>8</v>
      </c>
      <c r="I82" s="347"/>
      <c r="J82" s="347"/>
      <c r="K82" s="347"/>
      <c r="L82" s="347"/>
      <c r="M82" s="347"/>
      <c r="N82" s="347"/>
      <c r="O82" s="347"/>
      <c r="P82" s="347"/>
      <c r="Q82" s="347"/>
      <c r="R82" s="352"/>
      <c r="S82" s="352"/>
    </row>
    <row r="83" spans="1:19" s="353" customFormat="1">
      <c r="A83" s="351"/>
      <c r="B83" s="347"/>
      <c r="C83" s="349"/>
      <c r="D83" s="349"/>
      <c r="E83" s="349"/>
      <c r="F83" s="349"/>
      <c r="G83" s="349"/>
      <c r="H83" s="349"/>
      <c r="I83" s="347"/>
      <c r="J83" s="347"/>
      <c r="K83" s="347"/>
      <c r="L83" s="347"/>
      <c r="M83" s="347"/>
      <c r="N83" s="347"/>
      <c r="O83" s="347"/>
      <c r="P83" s="347"/>
      <c r="Q83" s="347"/>
      <c r="R83" s="352"/>
      <c r="S83" s="352"/>
    </row>
    <row r="84" spans="1:19" s="353" customFormat="1">
      <c r="A84" s="351"/>
      <c r="B84" s="347"/>
      <c r="C84" s="356" t="s">
        <v>958</v>
      </c>
      <c r="D84" s="356"/>
      <c r="E84" s="356" t="s">
        <v>959</v>
      </c>
      <c r="F84" s="356"/>
      <c r="G84" s="356"/>
      <c r="H84" s="349"/>
      <c r="I84" s="347"/>
      <c r="J84" s="347"/>
      <c r="K84" s="347"/>
      <c r="L84" s="347"/>
      <c r="M84" s="347"/>
      <c r="N84" s="347"/>
      <c r="O84" s="347"/>
      <c r="P84" s="347"/>
      <c r="Q84" s="347"/>
      <c r="R84" s="352"/>
      <c r="S84" s="352"/>
    </row>
    <row r="85" spans="1:19" s="353" customFormat="1">
      <c r="A85" s="351"/>
      <c r="B85" s="347"/>
      <c r="C85" s="350" t="str">
        <f>C73</f>
        <v>0,30</v>
      </c>
      <c r="D85" s="349" t="s">
        <v>951</v>
      </c>
      <c r="E85" s="350" t="str">
        <f>C74</f>
        <v>0,15</v>
      </c>
      <c r="F85" s="349" t="s">
        <v>952</v>
      </c>
      <c r="G85" s="348">
        <f>C85*E85</f>
        <v>4.4999999999999998E-2</v>
      </c>
      <c r="H85" s="349" t="s">
        <v>8</v>
      </c>
      <c r="I85" s="347"/>
      <c r="J85" s="347"/>
      <c r="K85" s="347"/>
      <c r="L85" s="347"/>
      <c r="M85" s="347"/>
      <c r="N85" s="347"/>
      <c r="O85" s="347"/>
      <c r="P85" s="347"/>
      <c r="Q85" s="347"/>
      <c r="R85" s="352"/>
      <c r="S85" s="352"/>
    </row>
    <row r="86" spans="1:19" s="353" customFormat="1">
      <c r="A86" s="351"/>
      <c r="B86" s="347"/>
      <c r="C86" s="347"/>
      <c r="D86" s="347"/>
      <c r="E86" s="347"/>
      <c r="F86" s="347"/>
      <c r="G86" s="347"/>
      <c r="H86" s="347"/>
      <c r="I86" s="347"/>
      <c r="J86" s="347"/>
      <c r="K86" s="347"/>
      <c r="L86" s="347"/>
      <c r="M86" s="347"/>
      <c r="N86" s="347"/>
      <c r="O86" s="347"/>
      <c r="P86" s="347"/>
      <c r="Q86" s="347"/>
      <c r="R86" s="352"/>
      <c r="S86" s="352"/>
    </row>
    <row r="87" spans="1:19" s="353" customFormat="1" ht="21" customHeight="1">
      <c r="A87" s="351"/>
      <c r="B87" s="347"/>
      <c r="C87" s="347"/>
      <c r="D87" s="347"/>
      <c r="E87" s="347"/>
      <c r="F87" s="347"/>
      <c r="G87" s="347"/>
      <c r="H87" s="347"/>
      <c r="I87" s="347"/>
      <c r="J87" s="347"/>
      <c r="K87" s="347"/>
      <c r="L87" s="347"/>
      <c r="M87" s="347"/>
      <c r="N87" s="347"/>
      <c r="O87" s="347"/>
      <c r="P87" s="347"/>
      <c r="Q87" s="347"/>
      <c r="R87" s="352"/>
      <c r="S87" s="352"/>
    </row>
    <row r="88" spans="1:19" s="353" customFormat="1">
      <c r="A88" s="351"/>
      <c r="B88" s="347" t="s">
        <v>954</v>
      </c>
      <c r="C88" s="357">
        <f>(C75/3)*(G82+G85+(SQRT(G82*G85)))</f>
        <v>1.7742640687119282E-2</v>
      </c>
      <c r="D88" s="347" t="s">
        <v>23</v>
      </c>
      <c r="E88" s="347"/>
      <c r="F88" s="347"/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7"/>
      <c r="R88" s="352"/>
      <c r="S88" s="352"/>
    </row>
    <row r="89" spans="1:19" s="353" customFormat="1">
      <c r="A89" s="351"/>
      <c r="B89" s="347"/>
      <c r="C89" s="357"/>
      <c r="D89" s="347"/>
      <c r="E89" s="347"/>
      <c r="F89" s="347"/>
      <c r="G89" s="347"/>
      <c r="H89" s="347"/>
      <c r="I89" s="347"/>
      <c r="J89" s="347"/>
      <c r="K89" s="347"/>
      <c r="L89" s="347"/>
      <c r="M89" s="347"/>
      <c r="N89" s="347"/>
      <c r="O89" s="347"/>
      <c r="P89" s="347"/>
      <c r="Q89" s="347"/>
      <c r="R89" s="352"/>
      <c r="S89" s="352"/>
    </row>
    <row r="90" spans="1:19" s="353" customFormat="1">
      <c r="A90" s="351"/>
      <c r="B90" s="347" t="s">
        <v>961</v>
      </c>
      <c r="C90" s="357">
        <f>C88+J78</f>
        <v>0.12274264068711928</v>
      </c>
      <c r="D90" s="347" t="s">
        <v>23</v>
      </c>
      <c r="E90" s="347"/>
      <c r="F90" s="347"/>
      <c r="G90" s="347"/>
      <c r="H90" s="347"/>
      <c r="I90" s="347"/>
      <c r="J90" s="347"/>
      <c r="K90" s="347"/>
      <c r="L90" s="347"/>
      <c r="M90" s="347"/>
      <c r="N90" s="347"/>
      <c r="O90" s="347"/>
      <c r="P90" s="347"/>
      <c r="Q90" s="347"/>
      <c r="R90" s="352"/>
      <c r="S90" s="352"/>
    </row>
    <row r="91" spans="1:19" s="353" customFormat="1">
      <c r="A91" s="351"/>
      <c r="B91" s="347"/>
      <c r="C91" s="357"/>
      <c r="D91" s="347"/>
      <c r="E91" s="347"/>
      <c r="F91" s="347"/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7"/>
      <c r="R91" s="352"/>
      <c r="S91" s="352"/>
    </row>
    <row r="92" spans="1:19" s="353" customFormat="1">
      <c r="A92" s="351"/>
      <c r="B92" s="347"/>
      <c r="C92" s="358" t="s">
        <v>962</v>
      </c>
      <c r="D92" s="349"/>
      <c r="E92" s="349" t="s">
        <v>964</v>
      </c>
      <c r="F92" s="349"/>
      <c r="G92" s="349" t="s">
        <v>953</v>
      </c>
      <c r="H92" s="349"/>
      <c r="I92" s="347"/>
      <c r="J92" s="347"/>
      <c r="K92" s="347"/>
      <c r="L92" s="347"/>
      <c r="M92" s="347"/>
      <c r="N92" s="347"/>
      <c r="O92" s="347"/>
      <c r="P92" s="347"/>
      <c r="Q92" s="347"/>
      <c r="R92" s="352"/>
      <c r="S92" s="352"/>
    </row>
    <row r="93" spans="1:19" s="353" customFormat="1">
      <c r="A93" s="351"/>
      <c r="B93" s="347" t="s">
        <v>960</v>
      </c>
      <c r="C93" s="358">
        <f>C90</f>
        <v>0.12274264068711928</v>
      </c>
      <c r="D93" s="349" t="s">
        <v>966</v>
      </c>
      <c r="E93" s="349">
        <v>52</v>
      </c>
      <c r="F93" s="349" t="s">
        <v>963</v>
      </c>
      <c r="G93" s="348">
        <f>C93*E93</f>
        <v>6.3826173157302026</v>
      </c>
      <c r="H93" s="349" t="s">
        <v>23</v>
      </c>
      <c r="I93" s="347"/>
      <c r="J93" s="347"/>
      <c r="K93" s="347"/>
      <c r="L93" s="347"/>
      <c r="M93" s="347"/>
      <c r="N93" s="347"/>
      <c r="O93" s="347"/>
      <c r="P93" s="347"/>
      <c r="Q93" s="347"/>
      <c r="R93" s="352"/>
      <c r="S93" s="352"/>
    </row>
    <row r="94" spans="1:19" s="353" customFormat="1">
      <c r="A94" s="351"/>
      <c r="B94" s="347"/>
      <c r="C94" s="357"/>
      <c r="D94" s="347"/>
      <c r="E94" s="347"/>
      <c r="F94" s="347"/>
      <c r="G94" s="347"/>
      <c r="H94" s="347"/>
      <c r="I94" s="347"/>
      <c r="J94" s="347"/>
      <c r="K94" s="347"/>
      <c r="L94" s="347"/>
      <c r="M94" s="347"/>
      <c r="N94" s="347"/>
      <c r="O94" s="347"/>
      <c r="P94" s="347"/>
      <c r="Q94" s="347"/>
      <c r="R94" s="352"/>
      <c r="S94" s="352"/>
    </row>
    <row r="95" spans="1:19" s="353" customFormat="1">
      <c r="A95" s="351"/>
      <c r="B95" s="548" t="s">
        <v>913</v>
      </c>
      <c r="C95" s="548"/>
      <c r="D95" s="548"/>
      <c r="E95" s="548"/>
      <c r="F95" s="548"/>
      <c r="G95" s="548"/>
      <c r="H95" s="548"/>
      <c r="I95" s="548"/>
      <c r="J95" s="548"/>
      <c r="K95" s="548"/>
      <c r="L95" s="548"/>
      <c r="M95" s="548"/>
      <c r="N95" s="548"/>
      <c r="O95" s="548"/>
      <c r="P95" s="548"/>
      <c r="Q95" s="548"/>
      <c r="R95" s="352"/>
      <c r="S95" s="352"/>
    </row>
    <row r="96" spans="1:19">
      <c r="A96" s="329"/>
      <c r="B96" s="334" t="s">
        <v>937</v>
      </c>
      <c r="C96" s="344">
        <v>0.7</v>
      </c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3"/>
      <c r="S96" s="333"/>
    </row>
    <row r="97" spans="1:20">
      <c r="A97" s="329"/>
      <c r="B97" s="334" t="s">
        <v>938</v>
      </c>
      <c r="C97" s="345" t="s">
        <v>943</v>
      </c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3"/>
      <c r="S97" s="333"/>
    </row>
    <row r="98" spans="1:20">
      <c r="A98" s="329"/>
      <c r="B98" s="334" t="s">
        <v>939</v>
      </c>
      <c r="C98" s="344">
        <v>0.35</v>
      </c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3"/>
      <c r="S98" s="333"/>
    </row>
    <row r="99" spans="1:20">
      <c r="A99" s="329"/>
      <c r="B99" s="334" t="s">
        <v>940</v>
      </c>
      <c r="C99" s="345" t="s">
        <v>945</v>
      </c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3"/>
      <c r="S99" s="333"/>
    </row>
    <row r="100" spans="1:20">
      <c r="A100" s="329"/>
      <c r="B100" s="334" t="s">
        <v>941</v>
      </c>
      <c r="C100" s="345" t="s">
        <v>946</v>
      </c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3"/>
      <c r="S100" s="333"/>
    </row>
    <row r="101" spans="1:20">
      <c r="A101" s="329"/>
      <c r="B101" s="334" t="s">
        <v>942</v>
      </c>
      <c r="C101" s="345" t="s">
        <v>947</v>
      </c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3"/>
      <c r="S101" s="333"/>
    </row>
    <row r="102" spans="1:20" s="353" customFormat="1">
      <c r="A102" s="351"/>
      <c r="B102" s="347"/>
      <c r="C102" s="347"/>
      <c r="D102" s="347"/>
      <c r="E102" s="347"/>
      <c r="F102" s="347"/>
      <c r="G102" s="347"/>
      <c r="H102" s="347"/>
      <c r="I102" s="347"/>
      <c r="J102" s="347"/>
      <c r="K102" s="347"/>
      <c r="L102" s="347"/>
      <c r="M102" s="347"/>
      <c r="N102" s="347"/>
      <c r="O102" s="347"/>
      <c r="P102" s="347"/>
      <c r="Q102" s="347"/>
      <c r="R102" s="352"/>
      <c r="S102" s="352"/>
    </row>
    <row r="103" spans="1:20" s="353" customFormat="1">
      <c r="A103" s="351"/>
      <c r="B103" s="347"/>
      <c r="C103" s="354" t="s">
        <v>949</v>
      </c>
      <c r="D103" s="347"/>
      <c r="E103" s="354" t="s">
        <v>950</v>
      </c>
      <c r="F103" s="347"/>
      <c r="G103" s="354" t="s">
        <v>939</v>
      </c>
      <c r="H103" s="347"/>
      <c r="I103" s="347"/>
      <c r="J103" s="347" t="s">
        <v>953</v>
      </c>
      <c r="K103" s="347"/>
      <c r="L103" s="347"/>
      <c r="M103" s="347"/>
      <c r="N103" s="347"/>
      <c r="O103" s="347"/>
      <c r="P103" s="347"/>
      <c r="Q103" s="347"/>
      <c r="R103" s="352"/>
      <c r="S103" s="352"/>
    </row>
    <row r="104" spans="1:20" s="353" customFormat="1">
      <c r="A104" s="351"/>
      <c r="B104" s="347" t="s">
        <v>948</v>
      </c>
      <c r="C104" s="348">
        <f>C96</f>
        <v>0.7</v>
      </c>
      <c r="D104" s="349" t="s">
        <v>951</v>
      </c>
      <c r="E104" s="349" t="str">
        <f>C97</f>
        <v>0,60</v>
      </c>
      <c r="F104" s="349" t="s">
        <v>951</v>
      </c>
      <c r="G104" s="349">
        <f>C98</f>
        <v>0.35</v>
      </c>
      <c r="H104" s="349"/>
      <c r="I104" s="349" t="s">
        <v>952</v>
      </c>
      <c r="J104" s="349">
        <f>C104*E104*G104</f>
        <v>0.14699999999999999</v>
      </c>
      <c r="K104" s="347" t="s">
        <v>23</v>
      </c>
      <c r="L104" s="347"/>
      <c r="M104" s="347"/>
      <c r="N104" s="347"/>
      <c r="O104" s="347"/>
      <c r="P104" s="347"/>
      <c r="Q104" s="347"/>
      <c r="R104" s="352"/>
      <c r="S104" s="352"/>
    </row>
    <row r="105" spans="1:20" s="353" customFormat="1">
      <c r="A105" s="351"/>
      <c r="B105" s="347"/>
      <c r="C105" s="347"/>
      <c r="D105" s="347"/>
      <c r="E105" s="347"/>
      <c r="F105" s="347"/>
      <c r="G105" s="347"/>
      <c r="H105" s="347"/>
      <c r="I105" s="347"/>
      <c r="J105" s="347"/>
      <c r="K105" s="347"/>
      <c r="L105" s="347"/>
      <c r="M105" s="347"/>
      <c r="N105" s="347"/>
      <c r="O105" s="347"/>
      <c r="P105" s="347"/>
      <c r="Q105" s="347"/>
      <c r="R105" s="352"/>
      <c r="S105" s="352"/>
    </row>
    <row r="106" spans="1:20" s="353" customFormat="1">
      <c r="A106" s="351"/>
      <c r="B106" s="347" t="s">
        <v>954</v>
      </c>
      <c r="C106" s="347"/>
      <c r="D106" s="347"/>
      <c r="E106" s="347"/>
      <c r="F106" s="347"/>
      <c r="G106" s="347"/>
      <c r="H106" s="347"/>
      <c r="I106" s="347"/>
      <c r="J106" s="347"/>
      <c r="K106" s="347"/>
      <c r="L106" s="347"/>
      <c r="M106" s="347"/>
      <c r="N106" s="347"/>
      <c r="O106" s="347"/>
      <c r="P106" s="347"/>
      <c r="Q106" s="347"/>
      <c r="R106" s="352"/>
      <c r="S106" s="352"/>
    </row>
    <row r="107" spans="1:20" s="353" customFormat="1">
      <c r="A107" s="351"/>
      <c r="B107" s="347"/>
      <c r="C107" s="356" t="s">
        <v>956</v>
      </c>
      <c r="D107" s="349"/>
      <c r="E107" s="356" t="s">
        <v>957</v>
      </c>
      <c r="F107" s="349"/>
      <c r="G107" s="349"/>
      <c r="H107" s="349"/>
      <c r="I107" s="347"/>
      <c r="J107" s="347"/>
      <c r="K107" s="347"/>
      <c r="L107" s="347"/>
      <c r="M107" s="347"/>
      <c r="N107" s="347"/>
      <c r="O107" s="347"/>
      <c r="P107" s="347"/>
      <c r="Q107" s="347"/>
      <c r="R107" s="352"/>
      <c r="S107" s="352"/>
      <c r="T107" s="353">
        <f>0.147+0.018</f>
        <v>0.16499999999999998</v>
      </c>
    </row>
    <row r="108" spans="1:20" s="353" customFormat="1">
      <c r="A108" s="351"/>
      <c r="B108" s="347" t="s">
        <v>955</v>
      </c>
      <c r="C108" s="350" t="str">
        <f>C97</f>
        <v>0,60</v>
      </c>
      <c r="D108" s="349" t="s">
        <v>951</v>
      </c>
      <c r="E108" s="350" t="str">
        <f>C97</f>
        <v>0,60</v>
      </c>
      <c r="F108" s="349" t="s">
        <v>952</v>
      </c>
      <c r="G108" s="349">
        <f>C108*E108</f>
        <v>0.36</v>
      </c>
      <c r="H108" s="347" t="s">
        <v>8</v>
      </c>
      <c r="I108" s="347"/>
      <c r="J108" s="347"/>
      <c r="K108" s="347"/>
      <c r="L108" s="347"/>
      <c r="M108" s="347"/>
      <c r="N108" s="347"/>
      <c r="O108" s="347"/>
      <c r="P108" s="347"/>
      <c r="Q108" s="347"/>
      <c r="R108" s="352"/>
      <c r="S108" s="352"/>
    </row>
    <row r="109" spans="1:20" s="353" customFormat="1">
      <c r="A109" s="351"/>
      <c r="B109" s="347"/>
      <c r="C109" s="349"/>
      <c r="D109" s="349"/>
      <c r="E109" s="349"/>
      <c r="F109" s="349"/>
      <c r="G109" s="349"/>
      <c r="H109" s="349"/>
      <c r="I109" s="347"/>
      <c r="J109" s="347"/>
      <c r="K109" s="347"/>
      <c r="L109" s="347"/>
      <c r="M109" s="347"/>
      <c r="N109" s="347"/>
      <c r="O109" s="347"/>
      <c r="P109" s="347"/>
      <c r="Q109" s="347"/>
      <c r="R109" s="352"/>
      <c r="S109" s="352"/>
    </row>
    <row r="110" spans="1:20" s="353" customFormat="1">
      <c r="A110" s="351"/>
      <c r="B110" s="347"/>
      <c r="C110" s="356" t="s">
        <v>958</v>
      </c>
      <c r="D110" s="356"/>
      <c r="E110" s="356" t="s">
        <v>959</v>
      </c>
      <c r="F110" s="356"/>
      <c r="G110" s="356"/>
      <c r="H110" s="349"/>
      <c r="I110" s="347"/>
      <c r="J110" s="347"/>
      <c r="K110" s="347"/>
      <c r="L110" s="347"/>
      <c r="M110" s="347"/>
      <c r="N110" s="347"/>
      <c r="O110" s="347"/>
      <c r="P110" s="347"/>
      <c r="Q110" s="347"/>
      <c r="R110" s="352"/>
      <c r="S110" s="352"/>
    </row>
    <row r="111" spans="1:20" s="353" customFormat="1">
      <c r="A111" s="351"/>
      <c r="B111" s="347"/>
      <c r="C111" s="350" t="str">
        <f>C99</f>
        <v>0,30</v>
      </c>
      <c r="D111" s="349" t="s">
        <v>951</v>
      </c>
      <c r="E111" s="350" t="str">
        <f>C100</f>
        <v>0,15</v>
      </c>
      <c r="F111" s="349" t="s">
        <v>952</v>
      </c>
      <c r="G111" s="348">
        <f>C111*E111</f>
        <v>4.4999999999999998E-2</v>
      </c>
      <c r="H111" s="349" t="s">
        <v>8</v>
      </c>
      <c r="I111" s="347"/>
      <c r="J111" s="347"/>
      <c r="K111" s="347"/>
      <c r="L111" s="347"/>
      <c r="M111" s="347"/>
      <c r="N111" s="347"/>
      <c r="O111" s="347"/>
      <c r="P111" s="347"/>
      <c r="Q111" s="347"/>
      <c r="R111" s="352"/>
      <c r="S111" s="352"/>
    </row>
    <row r="112" spans="1:20" s="353" customFormat="1">
      <c r="A112" s="351"/>
      <c r="B112" s="347"/>
      <c r="C112" s="347"/>
      <c r="D112" s="347"/>
      <c r="E112" s="347"/>
      <c r="F112" s="347"/>
      <c r="G112" s="347"/>
      <c r="H112" s="347"/>
      <c r="I112" s="347"/>
      <c r="J112" s="347"/>
      <c r="K112" s="347"/>
      <c r="L112" s="347"/>
      <c r="M112" s="347"/>
      <c r="N112" s="347"/>
      <c r="O112" s="347"/>
      <c r="P112" s="347"/>
      <c r="Q112" s="347"/>
      <c r="R112" s="352"/>
      <c r="S112" s="352"/>
    </row>
    <row r="113" spans="1:19" s="353" customFormat="1" ht="21" customHeight="1">
      <c r="A113" s="351"/>
      <c r="B113" s="347"/>
      <c r="C113" s="347"/>
      <c r="D113" s="347"/>
      <c r="E113" s="347"/>
      <c r="F113" s="347"/>
      <c r="G113" s="347"/>
      <c r="H113" s="347"/>
      <c r="I113" s="347"/>
      <c r="J113" s="347"/>
      <c r="K113" s="347"/>
      <c r="L113" s="347"/>
      <c r="M113" s="347"/>
      <c r="N113" s="347"/>
      <c r="O113" s="347"/>
      <c r="P113" s="347"/>
      <c r="Q113" s="347"/>
      <c r="R113" s="352"/>
      <c r="S113" s="352"/>
    </row>
    <row r="114" spans="1:19" s="353" customFormat="1">
      <c r="A114" s="351"/>
      <c r="B114" s="347" t="s">
        <v>954</v>
      </c>
      <c r="C114" s="357">
        <f>(C101/3)*(G108+G111+(SQRT(G108*G111)))</f>
        <v>1.7742640687119282E-2</v>
      </c>
      <c r="D114" s="347" t="s">
        <v>23</v>
      </c>
      <c r="E114" s="347"/>
      <c r="F114" s="347"/>
      <c r="G114" s="347"/>
      <c r="H114" s="347"/>
      <c r="I114" s="347"/>
      <c r="J114" s="347"/>
      <c r="K114" s="347"/>
      <c r="L114" s="347"/>
      <c r="M114" s="347"/>
      <c r="N114" s="347"/>
      <c r="O114" s="347"/>
      <c r="P114" s="347"/>
      <c r="Q114" s="347"/>
      <c r="R114" s="352"/>
      <c r="S114" s="352"/>
    </row>
    <row r="115" spans="1:19" s="353" customFormat="1">
      <c r="A115" s="351"/>
      <c r="B115" s="347"/>
      <c r="C115" s="357"/>
      <c r="D115" s="347"/>
      <c r="E115" s="347"/>
      <c r="F115" s="347"/>
      <c r="G115" s="347"/>
      <c r="H115" s="347"/>
      <c r="I115" s="347"/>
      <c r="J115" s="347"/>
      <c r="K115" s="347"/>
      <c r="L115" s="347"/>
      <c r="M115" s="347"/>
      <c r="N115" s="347"/>
      <c r="O115" s="347"/>
      <c r="P115" s="347"/>
      <c r="Q115" s="347"/>
      <c r="R115" s="352"/>
      <c r="S115" s="352"/>
    </row>
    <row r="116" spans="1:19" s="353" customFormat="1">
      <c r="A116" s="351"/>
      <c r="B116" s="347" t="s">
        <v>961</v>
      </c>
      <c r="C116" s="357">
        <f>C114+J104</f>
        <v>0.16474264068711927</v>
      </c>
      <c r="D116" s="347" t="s">
        <v>23</v>
      </c>
      <c r="E116" s="347"/>
      <c r="F116" s="347"/>
      <c r="G116" s="347"/>
      <c r="H116" s="347"/>
      <c r="I116" s="347"/>
      <c r="J116" s="347"/>
      <c r="K116" s="347"/>
      <c r="L116" s="347"/>
      <c r="M116" s="347"/>
      <c r="N116" s="347"/>
      <c r="O116" s="347"/>
      <c r="P116" s="347"/>
      <c r="Q116" s="347"/>
      <c r="R116" s="352"/>
      <c r="S116" s="352"/>
    </row>
    <row r="117" spans="1:19" s="353" customFormat="1">
      <c r="A117" s="351"/>
      <c r="B117" s="347"/>
      <c r="C117" s="357"/>
      <c r="D117" s="347"/>
      <c r="E117" s="347"/>
      <c r="F117" s="347"/>
      <c r="G117" s="347"/>
      <c r="H117" s="347"/>
      <c r="I117" s="347"/>
      <c r="J117" s="347"/>
      <c r="K117" s="347"/>
      <c r="L117" s="347"/>
      <c r="M117" s="347"/>
      <c r="N117" s="347"/>
      <c r="O117" s="347"/>
      <c r="P117" s="347"/>
      <c r="Q117" s="347"/>
      <c r="R117" s="352"/>
      <c r="S117" s="352"/>
    </row>
    <row r="118" spans="1:19" s="353" customFormat="1">
      <c r="A118" s="351"/>
      <c r="B118" s="347"/>
      <c r="C118" s="358" t="s">
        <v>962</v>
      </c>
      <c r="D118" s="349"/>
      <c r="E118" s="349" t="s">
        <v>964</v>
      </c>
      <c r="F118" s="349"/>
      <c r="G118" s="349" t="s">
        <v>953</v>
      </c>
      <c r="H118" s="349"/>
      <c r="I118" s="347"/>
      <c r="J118" s="347"/>
      <c r="K118" s="347"/>
      <c r="L118" s="347"/>
      <c r="M118" s="347"/>
      <c r="N118" s="347"/>
      <c r="O118" s="347"/>
      <c r="P118" s="347"/>
      <c r="Q118" s="347"/>
      <c r="R118" s="352"/>
      <c r="S118" s="352"/>
    </row>
    <row r="119" spans="1:19" s="353" customFormat="1">
      <c r="A119" s="351"/>
      <c r="B119" s="347" t="s">
        <v>960</v>
      </c>
      <c r="C119" s="358">
        <f>C116</f>
        <v>0.16474264068711927</v>
      </c>
      <c r="D119" s="349" t="s">
        <v>966</v>
      </c>
      <c r="E119" s="349">
        <v>13</v>
      </c>
      <c r="F119" s="349" t="s">
        <v>963</v>
      </c>
      <c r="G119" s="348">
        <f>C119*E119</f>
        <v>2.1416543289325505</v>
      </c>
      <c r="H119" s="349" t="s">
        <v>23</v>
      </c>
      <c r="I119" s="347"/>
      <c r="J119" s="347"/>
      <c r="K119" s="347"/>
      <c r="L119" s="347"/>
      <c r="M119" s="347"/>
      <c r="N119" s="347"/>
      <c r="O119" s="347"/>
      <c r="P119" s="347"/>
      <c r="Q119" s="347"/>
      <c r="R119" s="352"/>
      <c r="S119" s="352"/>
    </row>
    <row r="120" spans="1:19" s="353" customFormat="1">
      <c r="A120" s="351"/>
      <c r="B120" s="347"/>
      <c r="C120" s="357"/>
      <c r="D120" s="347"/>
      <c r="E120" s="347"/>
      <c r="F120" s="347"/>
      <c r="G120" s="347"/>
      <c r="H120" s="347"/>
      <c r="I120" s="347"/>
      <c r="J120" s="347"/>
      <c r="K120" s="347"/>
      <c r="L120" s="347"/>
      <c r="M120" s="347"/>
      <c r="N120" s="347"/>
      <c r="O120" s="347"/>
      <c r="P120" s="347"/>
      <c r="Q120" s="347"/>
      <c r="R120" s="352"/>
      <c r="S120" s="352"/>
    </row>
    <row r="121" spans="1:19" s="353" customFormat="1">
      <c r="A121" s="351"/>
      <c r="B121" s="548" t="s">
        <v>915</v>
      </c>
      <c r="C121" s="548"/>
      <c r="D121" s="548"/>
      <c r="E121" s="548"/>
      <c r="F121" s="548"/>
      <c r="G121" s="548"/>
      <c r="H121" s="548"/>
      <c r="I121" s="548"/>
      <c r="J121" s="548"/>
      <c r="K121" s="548"/>
      <c r="L121" s="548"/>
      <c r="M121" s="548"/>
      <c r="N121" s="548"/>
      <c r="O121" s="548"/>
      <c r="P121" s="548"/>
      <c r="Q121" s="548"/>
      <c r="R121" s="352"/>
      <c r="S121" s="352"/>
    </row>
    <row r="122" spans="1:19">
      <c r="A122" s="329"/>
      <c r="B122" s="334" t="s">
        <v>937</v>
      </c>
      <c r="C122" s="344">
        <v>0.7</v>
      </c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3"/>
      <c r="S122" s="333"/>
    </row>
    <row r="123" spans="1:19">
      <c r="A123" s="329"/>
      <c r="B123" s="334" t="s">
        <v>938</v>
      </c>
      <c r="C123" s="345" t="s">
        <v>943</v>
      </c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3"/>
      <c r="S123" s="333"/>
    </row>
    <row r="124" spans="1:19">
      <c r="A124" s="329"/>
      <c r="B124" s="334" t="s">
        <v>939</v>
      </c>
      <c r="C124" s="344">
        <v>0.45</v>
      </c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3"/>
      <c r="S124" s="333"/>
    </row>
    <row r="125" spans="1:19">
      <c r="A125" s="329"/>
      <c r="B125" s="334" t="s">
        <v>940</v>
      </c>
      <c r="C125" s="345" t="s">
        <v>945</v>
      </c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3"/>
      <c r="S125" s="333"/>
    </row>
    <row r="126" spans="1:19">
      <c r="A126" s="329"/>
      <c r="B126" s="334" t="s">
        <v>941</v>
      </c>
      <c r="C126" s="344">
        <v>0.2</v>
      </c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3"/>
      <c r="S126" s="333"/>
    </row>
    <row r="127" spans="1:19">
      <c r="A127" s="329"/>
      <c r="B127" s="334" t="s">
        <v>942</v>
      </c>
      <c r="C127" s="345" t="s">
        <v>947</v>
      </c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3"/>
      <c r="S127" s="333"/>
    </row>
    <row r="128" spans="1:19" s="353" customFormat="1">
      <c r="A128" s="351"/>
      <c r="B128" s="347"/>
      <c r="C128" s="347"/>
      <c r="D128" s="347"/>
      <c r="E128" s="347"/>
      <c r="F128" s="347"/>
      <c r="G128" s="347"/>
      <c r="H128" s="347"/>
      <c r="I128" s="347"/>
      <c r="J128" s="347"/>
      <c r="K128" s="347"/>
      <c r="L128" s="347"/>
      <c r="M128" s="347"/>
      <c r="N128" s="347"/>
      <c r="O128" s="347"/>
      <c r="P128" s="347"/>
      <c r="Q128" s="347"/>
      <c r="R128" s="352"/>
      <c r="S128" s="352"/>
    </row>
    <row r="129" spans="1:20" s="353" customFormat="1">
      <c r="A129" s="351"/>
      <c r="B129" s="347"/>
      <c r="C129" s="354" t="s">
        <v>949</v>
      </c>
      <c r="D129" s="347"/>
      <c r="E129" s="354" t="s">
        <v>950</v>
      </c>
      <c r="F129" s="347"/>
      <c r="G129" s="354" t="s">
        <v>939</v>
      </c>
      <c r="H129" s="347"/>
      <c r="I129" s="347"/>
      <c r="J129" s="347" t="s">
        <v>953</v>
      </c>
      <c r="K129" s="347"/>
      <c r="L129" s="347"/>
      <c r="M129" s="347"/>
      <c r="N129" s="347"/>
      <c r="O129" s="347"/>
      <c r="P129" s="347"/>
      <c r="Q129" s="347"/>
      <c r="R129" s="352"/>
      <c r="S129" s="352"/>
    </row>
    <row r="130" spans="1:20" s="353" customFormat="1">
      <c r="A130" s="351"/>
      <c r="B130" s="347" t="s">
        <v>948</v>
      </c>
      <c r="C130" s="348">
        <f>C122</f>
        <v>0.7</v>
      </c>
      <c r="D130" s="349" t="s">
        <v>951</v>
      </c>
      <c r="E130" s="349" t="str">
        <f>C123</f>
        <v>0,60</v>
      </c>
      <c r="F130" s="349" t="s">
        <v>951</v>
      </c>
      <c r="G130" s="349">
        <f>C124</f>
        <v>0.45</v>
      </c>
      <c r="H130" s="349"/>
      <c r="I130" s="349" t="s">
        <v>952</v>
      </c>
      <c r="J130" s="349">
        <f>C130*E130*G130</f>
        <v>0.189</v>
      </c>
      <c r="K130" s="347" t="s">
        <v>23</v>
      </c>
      <c r="L130" s="347"/>
      <c r="M130" s="347"/>
      <c r="N130" s="347"/>
      <c r="O130" s="347"/>
      <c r="P130" s="347"/>
      <c r="Q130" s="347"/>
      <c r="R130" s="352"/>
      <c r="S130" s="352"/>
    </row>
    <row r="131" spans="1:20" s="353" customFormat="1">
      <c r="A131" s="351"/>
      <c r="B131" s="347"/>
      <c r="C131" s="347"/>
      <c r="D131" s="347"/>
      <c r="E131" s="347"/>
      <c r="F131" s="347"/>
      <c r="G131" s="347"/>
      <c r="H131" s="347"/>
      <c r="I131" s="347"/>
      <c r="J131" s="347"/>
      <c r="K131" s="347"/>
      <c r="L131" s="347"/>
      <c r="M131" s="347"/>
      <c r="N131" s="347"/>
      <c r="O131" s="347"/>
      <c r="P131" s="347"/>
      <c r="Q131" s="347"/>
      <c r="R131" s="352"/>
      <c r="S131" s="352"/>
    </row>
    <row r="132" spans="1:20" s="353" customFormat="1">
      <c r="A132" s="351"/>
      <c r="B132" s="347" t="s">
        <v>954</v>
      </c>
      <c r="C132" s="347"/>
      <c r="D132" s="347"/>
      <c r="E132" s="347"/>
      <c r="F132" s="347"/>
      <c r="G132" s="347"/>
      <c r="H132" s="347"/>
      <c r="I132" s="347"/>
      <c r="J132" s="347"/>
      <c r="K132" s="347"/>
      <c r="L132" s="347"/>
      <c r="M132" s="347"/>
      <c r="N132" s="347"/>
      <c r="O132" s="347"/>
      <c r="P132" s="347"/>
      <c r="Q132" s="347"/>
      <c r="R132" s="352"/>
      <c r="S132" s="352"/>
    </row>
    <row r="133" spans="1:20" s="353" customFormat="1">
      <c r="A133" s="351"/>
      <c r="B133" s="347"/>
      <c r="C133" s="356" t="s">
        <v>956</v>
      </c>
      <c r="D133" s="349"/>
      <c r="E133" s="356" t="s">
        <v>957</v>
      </c>
      <c r="F133" s="349"/>
      <c r="G133" s="349"/>
      <c r="H133" s="349"/>
      <c r="I133" s="347"/>
      <c r="J133" s="347"/>
      <c r="K133" s="347"/>
      <c r="L133" s="347"/>
      <c r="M133" s="347"/>
      <c r="N133" s="347"/>
      <c r="O133" s="347"/>
      <c r="P133" s="347"/>
      <c r="Q133" s="347"/>
      <c r="R133" s="352"/>
      <c r="S133" s="352"/>
    </row>
    <row r="134" spans="1:20" s="353" customFormat="1">
      <c r="A134" s="351"/>
      <c r="B134" s="347" t="s">
        <v>955</v>
      </c>
      <c r="C134" s="350" t="str">
        <f>C123</f>
        <v>0,60</v>
      </c>
      <c r="D134" s="349" t="s">
        <v>951</v>
      </c>
      <c r="E134" s="350" t="str">
        <f>C123</f>
        <v>0,60</v>
      </c>
      <c r="F134" s="349" t="s">
        <v>952</v>
      </c>
      <c r="G134" s="349">
        <f>C134*E134</f>
        <v>0.36</v>
      </c>
      <c r="H134" s="347" t="s">
        <v>8</v>
      </c>
      <c r="I134" s="347"/>
      <c r="J134" s="347"/>
      <c r="K134" s="347"/>
      <c r="L134" s="347"/>
      <c r="M134" s="347"/>
      <c r="N134" s="347"/>
      <c r="O134" s="347"/>
      <c r="P134" s="347"/>
      <c r="Q134" s="347"/>
      <c r="R134" s="352"/>
      <c r="S134" s="352"/>
      <c r="T134" s="353">
        <f>0.189+0.019</f>
        <v>0.20799999999999999</v>
      </c>
    </row>
    <row r="135" spans="1:20" s="353" customFormat="1">
      <c r="A135" s="351"/>
      <c r="B135" s="347"/>
      <c r="C135" s="349"/>
      <c r="D135" s="349"/>
      <c r="E135" s="349"/>
      <c r="F135" s="349"/>
      <c r="G135" s="349"/>
      <c r="H135" s="349"/>
      <c r="I135" s="347"/>
      <c r="J135" s="347"/>
      <c r="K135" s="347"/>
      <c r="L135" s="347"/>
      <c r="M135" s="347"/>
      <c r="N135" s="347"/>
      <c r="O135" s="347"/>
      <c r="P135" s="347"/>
      <c r="Q135" s="347"/>
      <c r="R135" s="352"/>
      <c r="S135" s="352"/>
    </row>
    <row r="136" spans="1:20" s="353" customFormat="1">
      <c r="A136" s="351"/>
      <c r="B136" s="347"/>
      <c r="C136" s="356" t="s">
        <v>958</v>
      </c>
      <c r="D136" s="356"/>
      <c r="E136" s="356" t="s">
        <v>959</v>
      </c>
      <c r="F136" s="356"/>
      <c r="G136" s="356"/>
      <c r="H136" s="349"/>
      <c r="I136" s="347"/>
      <c r="J136" s="347"/>
      <c r="K136" s="347"/>
      <c r="L136" s="347"/>
      <c r="M136" s="347"/>
      <c r="N136" s="347"/>
      <c r="O136" s="347"/>
      <c r="P136" s="347"/>
      <c r="Q136" s="347"/>
      <c r="R136" s="352"/>
      <c r="S136" s="352"/>
    </row>
    <row r="137" spans="1:20" s="353" customFormat="1">
      <c r="A137" s="351"/>
      <c r="B137" s="347"/>
      <c r="C137" s="350" t="str">
        <f>C125</f>
        <v>0,30</v>
      </c>
      <c r="D137" s="349" t="s">
        <v>951</v>
      </c>
      <c r="E137" s="348">
        <f>C126</f>
        <v>0.2</v>
      </c>
      <c r="F137" s="349" t="s">
        <v>952</v>
      </c>
      <c r="G137" s="348">
        <f>C137*E137</f>
        <v>0.06</v>
      </c>
      <c r="H137" s="349" t="s">
        <v>8</v>
      </c>
      <c r="I137" s="347"/>
      <c r="J137" s="347"/>
      <c r="K137" s="347"/>
      <c r="L137" s="347"/>
      <c r="M137" s="347"/>
      <c r="N137" s="347"/>
      <c r="O137" s="347"/>
      <c r="P137" s="347"/>
      <c r="Q137" s="347"/>
      <c r="R137" s="352"/>
      <c r="S137" s="352"/>
    </row>
    <row r="138" spans="1:20" s="353" customFormat="1">
      <c r="A138" s="351"/>
      <c r="B138" s="347"/>
      <c r="C138" s="347"/>
      <c r="D138" s="347"/>
      <c r="E138" s="347"/>
      <c r="F138" s="347"/>
      <c r="G138" s="347"/>
      <c r="H138" s="347"/>
      <c r="I138" s="347"/>
      <c r="J138" s="347"/>
      <c r="K138" s="347"/>
      <c r="L138" s="347"/>
      <c r="M138" s="347"/>
      <c r="N138" s="347"/>
      <c r="O138" s="347"/>
      <c r="P138" s="347"/>
      <c r="Q138" s="347"/>
      <c r="R138" s="352"/>
      <c r="S138" s="352"/>
    </row>
    <row r="139" spans="1:20" s="353" customFormat="1" ht="21" customHeight="1">
      <c r="A139" s="351"/>
      <c r="B139" s="347"/>
      <c r="C139" s="347"/>
      <c r="D139" s="347"/>
      <c r="E139" s="347"/>
      <c r="F139" s="347"/>
      <c r="G139" s="347"/>
      <c r="H139" s="347"/>
      <c r="I139" s="347"/>
      <c r="J139" s="347"/>
      <c r="K139" s="347"/>
      <c r="L139" s="347"/>
      <c r="M139" s="347"/>
      <c r="N139" s="347"/>
      <c r="O139" s="347"/>
      <c r="P139" s="347"/>
      <c r="Q139" s="347"/>
      <c r="R139" s="352"/>
      <c r="S139" s="352"/>
    </row>
    <row r="140" spans="1:20" s="353" customFormat="1">
      <c r="A140" s="351"/>
      <c r="B140" s="347" t="s">
        <v>954</v>
      </c>
      <c r="C140" s="357">
        <f>(C127/3)*(G134+G137+(SQRT(G134*G137)))</f>
        <v>1.8898979485566354E-2</v>
      </c>
      <c r="D140" s="347" t="s">
        <v>23</v>
      </c>
      <c r="E140" s="347"/>
      <c r="F140" s="347"/>
      <c r="G140" s="347"/>
      <c r="H140" s="347"/>
      <c r="I140" s="347"/>
      <c r="J140" s="347"/>
      <c r="K140" s="347"/>
      <c r="L140" s="347"/>
      <c r="M140" s="347"/>
      <c r="N140" s="347"/>
      <c r="O140" s="347"/>
      <c r="P140" s="347"/>
      <c r="Q140" s="347"/>
      <c r="R140" s="352"/>
      <c r="S140" s="352"/>
    </row>
    <row r="141" spans="1:20" s="353" customFormat="1">
      <c r="A141" s="351"/>
      <c r="B141" s="347"/>
      <c r="C141" s="357"/>
      <c r="D141" s="347"/>
      <c r="E141" s="347"/>
      <c r="F141" s="347"/>
      <c r="G141" s="347"/>
      <c r="H141" s="347"/>
      <c r="I141" s="347"/>
      <c r="J141" s="347"/>
      <c r="K141" s="347"/>
      <c r="L141" s="347"/>
      <c r="M141" s="347"/>
      <c r="N141" s="347"/>
      <c r="O141" s="347"/>
      <c r="P141" s="347"/>
      <c r="Q141" s="347"/>
      <c r="R141" s="352"/>
      <c r="S141" s="352"/>
    </row>
    <row r="142" spans="1:20" s="353" customFormat="1">
      <c r="A142" s="351"/>
      <c r="B142" s="347" t="s">
        <v>961</v>
      </c>
      <c r="C142" s="357">
        <f>C140+J130</f>
        <v>0.20789897948556635</v>
      </c>
      <c r="D142" s="347" t="s">
        <v>23</v>
      </c>
      <c r="E142" s="347"/>
      <c r="F142" s="347"/>
      <c r="G142" s="347"/>
      <c r="H142" s="347"/>
      <c r="I142" s="347"/>
      <c r="J142" s="347"/>
      <c r="K142" s="347"/>
      <c r="L142" s="347"/>
      <c r="M142" s="347"/>
      <c r="N142" s="347"/>
      <c r="O142" s="347"/>
      <c r="P142" s="347"/>
      <c r="Q142" s="347"/>
      <c r="R142" s="352"/>
      <c r="S142" s="352"/>
    </row>
    <row r="143" spans="1:20" s="353" customFormat="1">
      <c r="A143" s="351"/>
      <c r="B143" s="347"/>
      <c r="C143" s="357"/>
      <c r="D143" s="347"/>
      <c r="E143" s="347"/>
      <c r="F143" s="347"/>
      <c r="G143" s="347"/>
      <c r="H143" s="347"/>
      <c r="I143" s="347"/>
      <c r="J143" s="347"/>
      <c r="K143" s="347"/>
      <c r="L143" s="347"/>
      <c r="M143" s="347"/>
      <c r="N143" s="347"/>
      <c r="O143" s="347"/>
      <c r="P143" s="347"/>
      <c r="Q143" s="347"/>
      <c r="R143" s="352"/>
      <c r="S143" s="352"/>
    </row>
    <row r="144" spans="1:20" s="353" customFormat="1">
      <c r="A144" s="351"/>
      <c r="B144" s="347"/>
      <c r="C144" s="358" t="s">
        <v>962</v>
      </c>
      <c r="D144" s="349"/>
      <c r="E144" s="349" t="s">
        <v>964</v>
      </c>
      <c r="F144" s="349"/>
      <c r="G144" s="349" t="s">
        <v>953</v>
      </c>
      <c r="H144" s="349"/>
      <c r="I144" s="347"/>
      <c r="J144" s="347"/>
      <c r="K144" s="347"/>
      <c r="L144" s="347"/>
      <c r="M144" s="347"/>
      <c r="N144" s="347"/>
      <c r="O144" s="347"/>
      <c r="P144" s="347"/>
      <c r="Q144" s="347"/>
      <c r="R144" s="352"/>
      <c r="S144" s="352"/>
    </row>
    <row r="145" spans="1:19" s="353" customFormat="1">
      <c r="A145" s="351"/>
      <c r="B145" s="347" t="s">
        <v>960</v>
      </c>
      <c r="C145" s="358">
        <f>C142</f>
        <v>0.20789897948556635</v>
      </c>
      <c r="D145" s="349" t="s">
        <v>966</v>
      </c>
      <c r="E145" s="349">
        <v>5</v>
      </c>
      <c r="F145" s="349" t="s">
        <v>963</v>
      </c>
      <c r="G145" s="348">
        <f>C145*E145</f>
        <v>1.0394948974278317</v>
      </c>
      <c r="H145" s="349" t="s">
        <v>23</v>
      </c>
      <c r="I145" s="347"/>
      <c r="J145" s="347"/>
      <c r="K145" s="347"/>
      <c r="L145" s="347"/>
      <c r="M145" s="347"/>
      <c r="N145" s="347"/>
      <c r="O145" s="347"/>
      <c r="P145" s="347"/>
      <c r="Q145" s="347"/>
      <c r="R145" s="352"/>
      <c r="S145" s="352"/>
    </row>
    <row r="146" spans="1:19" s="353" customFormat="1">
      <c r="A146" s="351"/>
      <c r="B146" s="347"/>
      <c r="C146" s="357"/>
      <c r="D146" s="347"/>
      <c r="E146" s="347"/>
      <c r="F146" s="347"/>
      <c r="G146" s="347"/>
      <c r="H146" s="347"/>
      <c r="I146" s="347"/>
      <c r="J146" s="347"/>
      <c r="K146" s="347"/>
      <c r="L146" s="347"/>
      <c r="M146" s="347"/>
      <c r="N146" s="347"/>
      <c r="O146" s="347"/>
      <c r="P146" s="347"/>
      <c r="Q146" s="347"/>
      <c r="R146" s="352"/>
      <c r="S146" s="352"/>
    </row>
    <row r="147" spans="1:19" s="353" customFormat="1">
      <c r="A147" s="351"/>
      <c r="B147" s="548" t="s">
        <v>915</v>
      </c>
      <c r="C147" s="548"/>
      <c r="D147" s="548"/>
      <c r="E147" s="548"/>
      <c r="F147" s="548"/>
      <c r="G147" s="548"/>
      <c r="H147" s="548"/>
      <c r="I147" s="548"/>
      <c r="J147" s="548"/>
      <c r="K147" s="548"/>
      <c r="L147" s="548"/>
      <c r="M147" s="548"/>
      <c r="N147" s="548"/>
      <c r="O147" s="548"/>
      <c r="P147" s="548"/>
      <c r="Q147" s="548"/>
      <c r="R147" s="352"/>
      <c r="S147" s="352"/>
    </row>
    <row r="148" spans="1:19">
      <c r="A148" s="329"/>
      <c r="B148" s="334" t="s">
        <v>937</v>
      </c>
      <c r="C148" s="344">
        <v>0.7</v>
      </c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3"/>
      <c r="S148" s="333"/>
    </row>
    <row r="149" spans="1:19">
      <c r="A149" s="329"/>
      <c r="B149" s="334" t="s">
        <v>938</v>
      </c>
      <c r="C149" s="345" t="s">
        <v>943</v>
      </c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3"/>
      <c r="S149" s="333"/>
    </row>
    <row r="150" spans="1:19">
      <c r="A150" s="329"/>
      <c r="B150" s="334" t="s">
        <v>939</v>
      </c>
      <c r="C150" s="344">
        <v>0.45</v>
      </c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3"/>
      <c r="S150" s="333"/>
    </row>
    <row r="151" spans="1:19">
      <c r="A151" s="329"/>
      <c r="B151" s="334" t="s">
        <v>940</v>
      </c>
      <c r="C151" s="345" t="s">
        <v>945</v>
      </c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3"/>
      <c r="S151" s="333"/>
    </row>
    <row r="152" spans="1:19">
      <c r="A152" s="329"/>
      <c r="B152" s="334" t="s">
        <v>941</v>
      </c>
      <c r="C152" s="344">
        <v>0.15</v>
      </c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3"/>
      <c r="S152" s="333"/>
    </row>
    <row r="153" spans="1:19">
      <c r="A153" s="329"/>
      <c r="B153" s="334" t="s">
        <v>942</v>
      </c>
      <c r="C153" s="345" t="s">
        <v>947</v>
      </c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3"/>
      <c r="S153" s="333"/>
    </row>
    <row r="154" spans="1:19" s="353" customFormat="1">
      <c r="A154" s="351"/>
      <c r="B154" s="347"/>
      <c r="C154" s="347"/>
      <c r="D154" s="347"/>
      <c r="E154" s="347"/>
      <c r="F154" s="347"/>
      <c r="G154" s="347"/>
      <c r="H154" s="347"/>
      <c r="I154" s="347"/>
      <c r="J154" s="347"/>
      <c r="K154" s="347"/>
      <c r="L154" s="347"/>
      <c r="M154" s="347"/>
      <c r="N154" s="347"/>
      <c r="O154" s="347"/>
      <c r="P154" s="347"/>
      <c r="Q154" s="347"/>
      <c r="R154" s="352"/>
      <c r="S154" s="352"/>
    </row>
    <row r="155" spans="1:19" s="353" customFormat="1">
      <c r="A155" s="351"/>
      <c r="B155" s="347"/>
      <c r="C155" s="354" t="s">
        <v>949</v>
      </c>
      <c r="D155" s="347"/>
      <c r="E155" s="354" t="s">
        <v>950</v>
      </c>
      <c r="F155" s="347"/>
      <c r="G155" s="354" t="s">
        <v>939</v>
      </c>
      <c r="H155" s="347"/>
      <c r="I155" s="347"/>
      <c r="J155" s="347" t="s">
        <v>953</v>
      </c>
      <c r="K155" s="347"/>
      <c r="L155" s="347"/>
      <c r="M155" s="347"/>
      <c r="N155" s="347"/>
      <c r="O155" s="347"/>
      <c r="P155" s="347"/>
      <c r="Q155" s="347"/>
      <c r="R155" s="352"/>
      <c r="S155" s="352"/>
    </row>
    <row r="156" spans="1:19" s="353" customFormat="1">
      <c r="A156" s="351"/>
      <c r="B156" s="347" t="s">
        <v>948</v>
      </c>
      <c r="C156" s="348">
        <f>C148</f>
        <v>0.7</v>
      </c>
      <c r="D156" s="349" t="s">
        <v>951</v>
      </c>
      <c r="E156" s="349" t="str">
        <f>C149</f>
        <v>0,60</v>
      </c>
      <c r="F156" s="349" t="s">
        <v>951</v>
      </c>
      <c r="G156" s="349">
        <f>C150</f>
        <v>0.45</v>
      </c>
      <c r="H156" s="349"/>
      <c r="I156" s="349" t="s">
        <v>952</v>
      </c>
      <c r="J156" s="349">
        <f>C156*E156*G156</f>
        <v>0.189</v>
      </c>
      <c r="K156" s="347" t="s">
        <v>23</v>
      </c>
      <c r="L156" s="347"/>
      <c r="M156" s="347"/>
      <c r="N156" s="347"/>
      <c r="O156" s="347"/>
      <c r="P156" s="347"/>
      <c r="Q156" s="347"/>
      <c r="R156" s="352"/>
      <c r="S156" s="352"/>
    </row>
    <row r="157" spans="1:19" s="353" customFormat="1">
      <c r="A157" s="351"/>
      <c r="B157" s="347"/>
      <c r="C157" s="347"/>
      <c r="D157" s="347"/>
      <c r="E157" s="347"/>
      <c r="F157" s="347"/>
      <c r="G157" s="347"/>
      <c r="H157" s="347"/>
      <c r="I157" s="347"/>
      <c r="J157" s="347"/>
      <c r="K157" s="347"/>
      <c r="L157" s="347"/>
      <c r="M157" s="347"/>
      <c r="N157" s="347"/>
      <c r="O157" s="347"/>
      <c r="P157" s="347"/>
      <c r="Q157" s="347"/>
      <c r="R157" s="352"/>
      <c r="S157" s="352"/>
    </row>
    <row r="158" spans="1:19" s="353" customFormat="1">
      <c r="A158" s="351"/>
      <c r="B158" s="347" t="s">
        <v>954</v>
      </c>
      <c r="C158" s="347"/>
      <c r="D158" s="347"/>
      <c r="E158" s="347"/>
      <c r="F158" s="347"/>
      <c r="G158" s="347"/>
      <c r="H158" s="347"/>
      <c r="I158" s="347"/>
      <c r="J158" s="347"/>
      <c r="K158" s="347"/>
      <c r="L158" s="347"/>
      <c r="M158" s="347"/>
      <c r="N158" s="347"/>
      <c r="O158" s="347"/>
      <c r="P158" s="347"/>
      <c r="Q158" s="347"/>
      <c r="R158" s="352"/>
      <c r="S158" s="352"/>
    </row>
    <row r="159" spans="1:19" s="353" customFormat="1">
      <c r="A159" s="351"/>
      <c r="B159" s="347"/>
      <c r="C159" s="356" t="s">
        <v>956</v>
      </c>
      <c r="D159" s="349"/>
      <c r="E159" s="356" t="s">
        <v>957</v>
      </c>
      <c r="F159" s="349"/>
      <c r="G159" s="349"/>
      <c r="H159" s="349"/>
      <c r="I159" s="347"/>
      <c r="J159" s="347"/>
      <c r="K159" s="347"/>
      <c r="L159" s="347"/>
      <c r="M159" s="347"/>
      <c r="N159" s="347"/>
      <c r="O159" s="347"/>
      <c r="P159" s="347"/>
      <c r="Q159" s="347"/>
      <c r="R159" s="352"/>
      <c r="S159" s="352"/>
    </row>
    <row r="160" spans="1:19" s="353" customFormat="1">
      <c r="A160" s="351"/>
      <c r="B160" s="347" t="s">
        <v>955</v>
      </c>
      <c r="C160" s="350" t="str">
        <f>C149</f>
        <v>0,60</v>
      </c>
      <c r="D160" s="349" t="s">
        <v>951</v>
      </c>
      <c r="E160" s="350" t="str">
        <f>C149</f>
        <v>0,60</v>
      </c>
      <c r="F160" s="349" t="s">
        <v>952</v>
      </c>
      <c r="G160" s="349">
        <f>C160*E160</f>
        <v>0.36</v>
      </c>
      <c r="H160" s="347" t="s">
        <v>8</v>
      </c>
      <c r="I160" s="347"/>
      <c r="J160" s="347"/>
      <c r="K160" s="347"/>
      <c r="L160" s="347"/>
      <c r="M160" s="347"/>
      <c r="N160" s="347"/>
      <c r="O160" s="347"/>
      <c r="P160" s="347"/>
      <c r="Q160" s="347"/>
      <c r="R160" s="352"/>
      <c r="S160" s="352"/>
    </row>
    <row r="161" spans="1:20" s="353" customFormat="1">
      <c r="A161" s="351"/>
      <c r="B161" s="347"/>
      <c r="C161" s="349"/>
      <c r="D161" s="349"/>
      <c r="E161" s="349"/>
      <c r="F161" s="349"/>
      <c r="G161" s="349"/>
      <c r="H161" s="349"/>
      <c r="I161" s="347"/>
      <c r="J161" s="347"/>
      <c r="K161" s="347"/>
      <c r="L161" s="347"/>
      <c r="M161" s="347"/>
      <c r="N161" s="347"/>
      <c r="O161" s="347"/>
      <c r="P161" s="347"/>
      <c r="Q161" s="347"/>
      <c r="R161" s="352"/>
      <c r="S161" s="352"/>
    </row>
    <row r="162" spans="1:20" s="353" customFormat="1">
      <c r="A162" s="351"/>
      <c r="B162" s="347"/>
      <c r="C162" s="356" t="s">
        <v>958</v>
      </c>
      <c r="D162" s="356"/>
      <c r="E162" s="356" t="s">
        <v>959</v>
      </c>
      <c r="F162" s="356"/>
      <c r="G162" s="356"/>
      <c r="H162" s="349"/>
      <c r="I162" s="347"/>
      <c r="J162" s="347"/>
      <c r="K162" s="347"/>
      <c r="L162" s="347"/>
      <c r="M162" s="347"/>
      <c r="N162" s="347"/>
      <c r="O162" s="347"/>
      <c r="P162" s="347"/>
      <c r="Q162" s="347"/>
      <c r="R162" s="352"/>
      <c r="S162" s="352"/>
    </row>
    <row r="163" spans="1:20" s="353" customFormat="1">
      <c r="A163" s="351"/>
      <c r="B163" s="347"/>
      <c r="C163" s="350" t="str">
        <f>C151</f>
        <v>0,30</v>
      </c>
      <c r="D163" s="349" t="s">
        <v>951</v>
      </c>
      <c r="E163" s="348">
        <f>C152</f>
        <v>0.15</v>
      </c>
      <c r="F163" s="349" t="s">
        <v>952</v>
      </c>
      <c r="G163" s="348">
        <f>C163*E163</f>
        <v>4.4999999999999998E-2</v>
      </c>
      <c r="H163" s="349" t="s">
        <v>8</v>
      </c>
      <c r="I163" s="347"/>
      <c r="J163" s="347"/>
      <c r="K163" s="347"/>
      <c r="L163" s="347"/>
      <c r="M163" s="347"/>
      <c r="N163" s="347"/>
      <c r="O163" s="347"/>
      <c r="P163" s="347"/>
      <c r="Q163" s="347"/>
      <c r="R163" s="352"/>
      <c r="S163" s="352"/>
    </row>
    <row r="164" spans="1:20" s="353" customFormat="1">
      <c r="A164" s="351"/>
      <c r="B164" s="347"/>
      <c r="C164" s="347"/>
      <c r="D164" s="347"/>
      <c r="E164" s="347"/>
      <c r="F164" s="347"/>
      <c r="G164" s="347"/>
      <c r="H164" s="347"/>
      <c r="I164" s="347"/>
      <c r="J164" s="347"/>
      <c r="K164" s="347"/>
      <c r="L164" s="347"/>
      <c r="M164" s="347"/>
      <c r="N164" s="347"/>
      <c r="O164" s="347"/>
      <c r="P164" s="347"/>
      <c r="Q164" s="347"/>
      <c r="R164" s="352"/>
      <c r="S164" s="352"/>
    </row>
    <row r="165" spans="1:20" s="353" customFormat="1" ht="21" customHeight="1">
      <c r="A165" s="351"/>
      <c r="B165" s="347"/>
      <c r="C165" s="347"/>
      <c r="D165" s="347"/>
      <c r="E165" s="347"/>
      <c r="F165" s="347"/>
      <c r="G165" s="347"/>
      <c r="H165" s="347"/>
      <c r="I165" s="347"/>
      <c r="J165" s="347"/>
      <c r="K165" s="347"/>
      <c r="L165" s="347"/>
      <c r="M165" s="347"/>
      <c r="N165" s="347"/>
      <c r="O165" s="347"/>
      <c r="P165" s="347"/>
      <c r="Q165" s="347"/>
      <c r="R165" s="352"/>
      <c r="S165" s="352"/>
    </row>
    <row r="166" spans="1:20" s="353" customFormat="1">
      <c r="A166" s="351"/>
      <c r="B166" s="347" t="s">
        <v>954</v>
      </c>
      <c r="C166" s="357">
        <f>(C153/3)*(G160+G163+(SQRT(G160*G163)))</f>
        <v>1.7742640687119282E-2</v>
      </c>
      <c r="D166" s="347" t="s">
        <v>23</v>
      </c>
      <c r="E166" s="347"/>
      <c r="F166" s="347"/>
      <c r="G166" s="347"/>
      <c r="H166" s="347"/>
      <c r="I166" s="347"/>
      <c r="J166" s="347"/>
      <c r="K166" s="347"/>
      <c r="L166" s="347"/>
      <c r="M166" s="347"/>
      <c r="N166" s="347"/>
      <c r="O166" s="347"/>
      <c r="P166" s="347"/>
      <c r="Q166" s="347"/>
      <c r="R166" s="352"/>
      <c r="S166" s="352"/>
    </row>
    <row r="167" spans="1:20" s="353" customFormat="1">
      <c r="A167" s="351"/>
      <c r="B167" s="347"/>
      <c r="C167" s="357"/>
      <c r="D167" s="347"/>
      <c r="E167" s="347"/>
      <c r="F167" s="347"/>
      <c r="G167" s="347"/>
      <c r="H167" s="347"/>
      <c r="I167" s="347"/>
      <c r="J167" s="347"/>
      <c r="K167" s="347"/>
      <c r="L167" s="347"/>
      <c r="M167" s="347"/>
      <c r="N167" s="347"/>
      <c r="O167" s="347"/>
      <c r="P167" s="347"/>
      <c r="Q167" s="347"/>
      <c r="R167" s="352"/>
      <c r="S167" s="352"/>
    </row>
    <row r="168" spans="1:20" s="353" customFormat="1">
      <c r="A168" s="351"/>
      <c r="B168" s="347" t="s">
        <v>961</v>
      </c>
      <c r="C168" s="357">
        <f>C166+J156</f>
        <v>0.20674264068711928</v>
      </c>
      <c r="D168" s="347" t="s">
        <v>23</v>
      </c>
      <c r="E168" s="347"/>
      <c r="F168" s="347"/>
      <c r="G168" s="347"/>
      <c r="H168" s="347"/>
      <c r="I168" s="347"/>
      <c r="J168" s="347"/>
      <c r="K168" s="347"/>
      <c r="L168" s="347"/>
      <c r="M168" s="347"/>
      <c r="N168" s="347"/>
      <c r="O168" s="347"/>
      <c r="P168" s="347"/>
      <c r="Q168" s="347"/>
      <c r="R168" s="352"/>
      <c r="S168" s="352"/>
      <c r="T168" s="353">
        <f>0.189+0.018</f>
        <v>0.20699999999999999</v>
      </c>
    </row>
    <row r="169" spans="1:20" s="353" customFormat="1">
      <c r="A169" s="351"/>
      <c r="B169" s="347"/>
      <c r="C169" s="357"/>
      <c r="D169" s="347"/>
      <c r="E169" s="347"/>
      <c r="F169" s="347"/>
      <c r="G169" s="347"/>
      <c r="H169" s="347"/>
      <c r="I169" s="347"/>
      <c r="J169" s="347"/>
      <c r="K169" s="347"/>
      <c r="L169" s="347"/>
      <c r="M169" s="347"/>
      <c r="N169" s="347"/>
      <c r="O169" s="347"/>
      <c r="P169" s="347"/>
      <c r="Q169" s="347"/>
      <c r="R169" s="352"/>
      <c r="S169" s="352"/>
    </row>
    <row r="170" spans="1:20" s="353" customFormat="1">
      <c r="A170" s="351"/>
      <c r="B170" s="347"/>
      <c r="C170" s="358" t="s">
        <v>962</v>
      </c>
      <c r="D170" s="349"/>
      <c r="E170" s="349" t="s">
        <v>964</v>
      </c>
      <c r="F170" s="349"/>
      <c r="G170" s="349" t="s">
        <v>953</v>
      </c>
      <c r="H170" s="349"/>
      <c r="I170" s="347"/>
      <c r="J170" s="347"/>
      <c r="K170" s="347"/>
      <c r="L170" s="347"/>
      <c r="M170" s="347"/>
      <c r="N170" s="347"/>
      <c r="O170" s="347"/>
      <c r="P170" s="347"/>
      <c r="Q170" s="347"/>
      <c r="R170" s="352"/>
      <c r="S170" s="352"/>
    </row>
    <row r="171" spans="1:20" s="353" customFormat="1">
      <c r="A171" s="351"/>
      <c r="B171" s="347" t="s">
        <v>960</v>
      </c>
      <c r="C171" s="358">
        <f>C168</f>
        <v>0.20674264068711928</v>
      </c>
      <c r="D171" s="349" t="s">
        <v>966</v>
      </c>
      <c r="E171" s="349">
        <v>2</v>
      </c>
      <c r="F171" s="349" t="s">
        <v>963</v>
      </c>
      <c r="G171" s="348">
        <f>C171*E171</f>
        <v>0.41348528137423857</v>
      </c>
      <c r="H171" s="349" t="s">
        <v>23</v>
      </c>
      <c r="I171" s="347"/>
      <c r="J171" s="347"/>
      <c r="K171" s="347"/>
      <c r="L171" s="347"/>
      <c r="M171" s="347"/>
      <c r="N171" s="347"/>
      <c r="O171" s="347"/>
      <c r="P171" s="347"/>
      <c r="Q171" s="347"/>
      <c r="R171" s="352"/>
      <c r="S171" s="352"/>
    </row>
    <row r="172" spans="1:20" s="353" customFormat="1">
      <c r="A172" s="351"/>
      <c r="B172" s="347"/>
      <c r="C172" s="357"/>
      <c r="D172" s="347"/>
      <c r="E172" s="347"/>
      <c r="F172" s="347"/>
      <c r="G172" s="347"/>
      <c r="H172" s="347"/>
      <c r="I172" s="347"/>
      <c r="J172" s="347"/>
      <c r="K172" s="347"/>
      <c r="L172" s="347"/>
      <c r="M172" s="347"/>
      <c r="N172" s="347"/>
      <c r="O172" s="347"/>
      <c r="P172" s="347"/>
      <c r="Q172" s="347"/>
      <c r="R172" s="352"/>
      <c r="S172" s="352"/>
    </row>
    <row r="173" spans="1:20" s="353" customFormat="1">
      <c r="A173" s="351"/>
      <c r="B173" s="548" t="s">
        <v>967</v>
      </c>
      <c r="C173" s="548"/>
      <c r="D173" s="548"/>
      <c r="E173" s="548"/>
      <c r="F173" s="548"/>
      <c r="G173" s="548"/>
      <c r="H173" s="548"/>
      <c r="I173" s="548"/>
      <c r="J173" s="548"/>
      <c r="K173" s="548"/>
      <c r="L173" s="548"/>
      <c r="M173" s="548"/>
      <c r="N173" s="548"/>
      <c r="O173" s="548"/>
      <c r="P173" s="548"/>
      <c r="Q173" s="548"/>
      <c r="R173" s="352"/>
      <c r="S173" s="352"/>
    </row>
    <row r="174" spans="1:20">
      <c r="A174" s="329"/>
      <c r="B174" s="334" t="s">
        <v>937</v>
      </c>
      <c r="C174" s="344">
        <v>0.8</v>
      </c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3"/>
      <c r="S174" s="333"/>
    </row>
    <row r="175" spans="1:20">
      <c r="A175" s="329"/>
      <c r="B175" s="334" t="s">
        <v>938</v>
      </c>
      <c r="C175" s="344">
        <v>0.6</v>
      </c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3"/>
      <c r="S175" s="333"/>
    </row>
    <row r="176" spans="1:20">
      <c r="A176" s="329"/>
      <c r="B176" s="334" t="s">
        <v>939</v>
      </c>
      <c r="C176" s="344">
        <v>0.6</v>
      </c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3"/>
      <c r="S176" s="333"/>
    </row>
    <row r="177" spans="1:19">
      <c r="A177" s="329"/>
      <c r="B177" s="334" t="s">
        <v>940</v>
      </c>
      <c r="C177" s="344">
        <v>0.4</v>
      </c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3"/>
      <c r="S177" s="333"/>
    </row>
    <row r="178" spans="1:19">
      <c r="A178" s="329"/>
      <c r="B178" s="334" t="s">
        <v>941</v>
      </c>
      <c r="C178" s="344">
        <v>0.2</v>
      </c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3"/>
      <c r="S178" s="333"/>
    </row>
    <row r="179" spans="1:19">
      <c r="A179" s="329"/>
      <c r="B179" s="334" t="s">
        <v>942</v>
      </c>
      <c r="C179" s="345" t="s">
        <v>947</v>
      </c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3"/>
      <c r="S179" s="333"/>
    </row>
    <row r="180" spans="1:19" s="353" customFormat="1">
      <c r="A180" s="351"/>
      <c r="B180" s="347"/>
      <c r="C180" s="347"/>
      <c r="D180" s="347"/>
      <c r="E180" s="347"/>
      <c r="F180" s="347"/>
      <c r="G180" s="347"/>
      <c r="H180" s="347"/>
      <c r="I180" s="347"/>
      <c r="J180" s="347"/>
      <c r="K180" s="347"/>
      <c r="L180" s="347"/>
      <c r="M180" s="347"/>
      <c r="N180" s="347"/>
      <c r="O180" s="347"/>
      <c r="P180" s="347"/>
      <c r="Q180" s="347"/>
      <c r="R180" s="352"/>
      <c r="S180" s="352"/>
    </row>
    <row r="181" spans="1:19" s="353" customFormat="1">
      <c r="A181" s="351"/>
      <c r="B181" s="347"/>
      <c r="C181" s="354" t="s">
        <v>949</v>
      </c>
      <c r="D181" s="347"/>
      <c r="E181" s="354" t="s">
        <v>950</v>
      </c>
      <c r="F181" s="347"/>
      <c r="G181" s="354" t="s">
        <v>939</v>
      </c>
      <c r="H181" s="347"/>
      <c r="I181" s="347"/>
      <c r="J181" s="347" t="s">
        <v>953</v>
      </c>
      <c r="K181" s="347"/>
      <c r="L181" s="347"/>
      <c r="M181" s="347"/>
      <c r="N181" s="347"/>
      <c r="O181" s="347"/>
      <c r="P181" s="347"/>
      <c r="Q181" s="347"/>
      <c r="R181" s="352"/>
      <c r="S181" s="352"/>
    </row>
    <row r="182" spans="1:19" s="353" customFormat="1">
      <c r="A182" s="351"/>
      <c r="B182" s="347" t="s">
        <v>948</v>
      </c>
      <c r="C182" s="335">
        <f>C174</f>
        <v>0.8</v>
      </c>
      <c r="D182" s="349" t="s">
        <v>951</v>
      </c>
      <c r="E182" s="335">
        <f>C175</f>
        <v>0.6</v>
      </c>
      <c r="F182" s="349" t="s">
        <v>951</v>
      </c>
      <c r="G182" s="335">
        <f>C176</f>
        <v>0.6</v>
      </c>
      <c r="H182" s="349"/>
      <c r="I182" s="349" t="s">
        <v>952</v>
      </c>
      <c r="J182" s="349">
        <f>C182*E182*G182</f>
        <v>0.28799999999999998</v>
      </c>
      <c r="K182" s="347" t="s">
        <v>23</v>
      </c>
      <c r="L182" s="347"/>
      <c r="M182" s="347"/>
      <c r="N182" s="347"/>
      <c r="O182" s="347"/>
      <c r="P182" s="347"/>
      <c r="Q182" s="347"/>
      <c r="R182" s="352"/>
      <c r="S182" s="352"/>
    </row>
    <row r="183" spans="1:19" s="353" customFormat="1">
      <c r="A183" s="351"/>
      <c r="B183" s="347"/>
      <c r="C183" s="347"/>
      <c r="D183" s="347"/>
      <c r="E183" s="347"/>
      <c r="F183" s="347"/>
      <c r="G183" s="347"/>
      <c r="H183" s="347"/>
      <c r="I183" s="347"/>
      <c r="J183" s="347"/>
      <c r="K183" s="347"/>
      <c r="L183" s="347"/>
      <c r="M183" s="347"/>
      <c r="N183" s="347"/>
      <c r="O183" s="347"/>
      <c r="P183" s="347"/>
      <c r="Q183" s="347"/>
      <c r="R183" s="352"/>
      <c r="S183" s="352"/>
    </row>
    <row r="184" spans="1:19" s="353" customFormat="1">
      <c r="A184" s="351"/>
      <c r="B184" s="347" t="s">
        <v>954</v>
      </c>
      <c r="C184" s="347"/>
      <c r="D184" s="347"/>
      <c r="E184" s="347"/>
      <c r="F184" s="347"/>
      <c r="G184" s="347"/>
      <c r="H184" s="347"/>
      <c r="I184" s="347"/>
      <c r="J184" s="347"/>
      <c r="K184" s="347"/>
      <c r="L184" s="347"/>
      <c r="M184" s="347"/>
      <c r="N184" s="347"/>
      <c r="O184" s="347"/>
      <c r="P184" s="347"/>
      <c r="Q184" s="347"/>
      <c r="R184" s="352"/>
      <c r="S184" s="352"/>
    </row>
    <row r="185" spans="1:19" s="353" customFormat="1">
      <c r="A185" s="351"/>
      <c r="B185" s="347"/>
      <c r="C185" s="356" t="s">
        <v>956</v>
      </c>
      <c r="D185" s="349"/>
      <c r="E185" s="356" t="s">
        <v>957</v>
      </c>
      <c r="F185" s="349"/>
      <c r="G185" s="349"/>
      <c r="H185" s="349"/>
      <c r="I185" s="347"/>
      <c r="J185" s="347"/>
      <c r="K185" s="347"/>
      <c r="L185" s="347"/>
      <c r="M185" s="347"/>
      <c r="N185" s="347"/>
      <c r="O185" s="347"/>
      <c r="P185" s="347"/>
      <c r="Q185" s="347"/>
      <c r="R185" s="352"/>
      <c r="S185" s="352"/>
    </row>
    <row r="186" spans="1:19" s="353" customFormat="1">
      <c r="A186" s="351"/>
      <c r="B186" s="347" t="s">
        <v>955</v>
      </c>
      <c r="C186" s="348">
        <f>C175</f>
        <v>0.6</v>
      </c>
      <c r="D186" s="349" t="s">
        <v>951</v>
      </c>
      <c r="E186" s="348">
        <f>C175</f>
        <v>0.6</v>
      </c>
      <c r="F186" s="349" t="s">
        <v>952</v>
      </c>
      <c r="G186" s="348">
        <f>C186*E186</f>
        <v>0.36</v>
      </c>
      <c r="H186" s="347" t="s">
        <v>8</v>
      </c>
      <c r="I186" s="347"/>
      <c r="J186" s="347"/>
      <c r="K186" s="347"/>
      <c r="L186" s="347"/>
      <c r="M186" s="347"/>
      <c r="N186" s="347"/>
      <c r="O186" s="347"/>
      <c r="P186" s="347"/>
      <c r="Q186" s="347"/>
      <c r="R186" s="352"/>
      <c r="S186" s="352"/>
    </row>
    <row r="187" spans="1:19" s="353" customFormat="1">
      <c r="A187" s="351"/>
      <c r="B187" s="347"/>
      <c r="C187" s="349"/>
      <c r="D187" s="349"/>
      <c r="E187" s="349"/>
      <c r="F187" s="349"/>
      <c r="G187" s="349"/>
      <c r="H187" s="349"/>
      <c r="I187" s="347"/>
      <c r="J187" s="347"/>
      <c r="K187" s="347"/>
      <c r="L187" s="347"/>
      <c r="M187" s="347"/>
      <c r="N187" s="347"/>
      <c r="O187" s="347"/>
      <c r="P187" s="347"/>
      <c r="Q187" s="347"/>
      <c r="R187" s="352"/>
      <c r="S187" s="352"/>
    </row>
    <row r="188" spans="1:19" s="353" customFormat="1">
      <c r="A188" s="351"/>
      <c r="B188" s="347"/>
      <c r="C188" s="356" t="s">
        <v>958</v>
      </c>
      <c r="D188" s="356"/>
      <c r="E188" s="356" t="s">
        <v>959</v>
      </c>
      <c r="F188" s="356"/>
      <c r="G188" s="356"/>
      <c r="H188" s="349"/>
      <c r="I188" s="347"/>
      <c r="J188" s="347"/>
      <c r="K188" s="347"/>
      <c r="L188" s="347"/>
      <c r="M188" s="347"/>
      <c r="N188" s="347"/>
      <c r="O188" s="347"/>
      <c r="P188" s="347"/>
      <c r="Q188" s="347"/>
      <c r="R188" s="352"/>
      <c r="S188" s="352"/>
    </row>
    <row r="189" spans="1:19" s="353" customFormat="1">
      <c r="A189" s="351"/>
      <c r="B189" s="347"/>
      <c r="C189" s="348">
        <f>C177</f>
        <v>0.4</v>
      </c>
      <c r="D189" s="349" t="s">
        <v>951</v>
      </c>
      <c r="E189" s="348">
        <f>C178</f>
        <v>0.2</v>
      </c>
      <c r="F189" s="349" t="s">
        <v>952</v>
      </c>
      <c r="G189" s="348">
        <f>C189*E189</f>
        <v>8.0000000000000016E-2</v>
      </c>
      <c r="H189" s="349" t="s">
        <v>8</v>
      </c>
      <c r="I189" s="347"/>
      <c r="J189" s="347"/>
      <c r="K189" s="347"/>
      <c r="L189" s="347"/>
      <c r="M189" s="347"/>
      <c r="N189" s="347"/>
      <c r="O189" s="347"/>
      <c r="P189" s="347"/>
      <c r="Q189" s="347"/>
      <c r="R189" s="352"/>
      <c r="S189" s="352"/>
    </row>
    <row r="190" spans="1:19" s="353" customFormat="1">
      <c r="A190" s="351"/>
      <c r="B190" s="347"/>
      <c r="C190" s="347"/>
      <c r="D190" s="347"/>
      <c r="E190" s="347"/>
      <c r="F190" s="347"/>
      <c r="G190" s="347"/>
      <c r="H190" s="347"/>
      <c r="I190" s="347"/>
      <c r="J190" s="347"/>
      <c r="K190" s="347"/>
      <c r="L190" s="347"/>
      <c r="M190" s="347"/>
      <c r="N190" s="347"/>
      <c r="O190" s="347"/>
      <c r="P190" s="347"/>
      <c r="Q190" s="347"/>
      <c r="R190" s="352"/>
      <c r="S190" s="352"/>
    </row>
    <row r="191" spans="1:19" s="353" customFormat="1" ht="21" customHeight="1">
      <c r="A191" s="351"/>
      <c r="B191" s="347"/>
      <c r="C191" s="347"/>
      <c r="D191" s="347"/>
      <c r="E191" s="347"/>
      <c r="F191" s="347"/>
      <c r="G191" s="347"/>
      <c r="H191" s="347"/>
      <c r="I191" s="347"/>
      <c r="J191" s="347"/>
      <c r="K191" s="347"/>
      <c r="L191" s="347"/>
      <c r="M191" s="347"/>
      <c r="N191" s="347"/>
      <c r="O191" s="347"/>
      <c r="P191" s="347"/>
      <c r="Q191" s="347"/>
      <c r="R191" s="352"/>
      <c r="S191" s="352"/>
    </row>
    <row r="192" spans="1:19" s="353" customFormat="1">
      <c r="A192" s="351"/>
      <c r="B192" s="347" t="s">
        <v>954</v>
      </c>
      <c r="C192" s="357">
        <f>(C179/3)*(G186+G189+(SQRT(G186*G189)))</f>
        <v>2.0323520916159046E-2</v>
      </c>
      <c r="D192" s="347" t="s">
        <v>23</v>
      </c>
      <c r="E192" s="347"/>
      <c r="F192" s="347"/>
      <c r="G192" s="347"/>
      <c r="H192" s="347"/>
      <c r="I192" s="347"/>
      <c r="J192" s="347"/>
      <c r="K192" s="347"/>
      <c r="L192" s="347"/>
      <c r="M192" s="347"/>
      <c r="N192" s="347"/>
      <c r="O192" s="347"/>
      <c r="P192" s="347"/>
      <c r="Q192" s="347"/>
      <c r="R192" s="352"/>
      <c r="S192" s="352"/>
    </row>
    <row r="193" spans="1:19" s="353" customFormat="1">
      <c r="A193" s="351"/>
      <c r="B193" s="347"/>
      <c r="C193" s="357"/>
      <c r="D193" s="347"/>
      <c r="E193" s="347"/>
      <c r="F193" s="347"/>
      <c r="G193" s="347"/>
      <c r="H193" s="347"/>
      <c r="I193" s="347"/>
      <c r="J193" s="347"/>
      <c r="K193" s="347"/>
      <c r="L193" s="347"/>
      <c r="M193" s="347"/>
      <c r="N193" s="347"/>
      <c r="O193" s="347"/>
      <c r="P193" s="347"/>
      <c r="Q193" s="347"/>
      <c r="R193" s="352"/>
      <c r="S193" s="352"/>
    </row>
    <row r="194" spans="1:19" s="353" customFormat="1">
      <c r="A194" s="351"/>
      <c r="B194" s="347" t="s">
        <v>961</v>
      </c>
      <c r="C194" s="357">
        <f>C192+J182</f>
        <v>0.308323520916159</v>
      </c>
      <c r="D194" s="347" t="s">
        <v>23</v>
      </c>
      <c r="E194" s="347"/>
      <c r="F194" s="347"/>
      <c r="G194" s="347"/>
      <c r="H194" s="347"/>
      <c r="I194" s="347"/>
      <c r="J194" s="347"/>
      <c r="K194" s="347"/>
      <c r="L194" s="347"/>
      <c r="M194" s="347"/>
      <c r="N194" s="347"/>
      <c r="O194" s="347"/>
      <c r="P194" s="347"/>
      <c r="Q194" s="347"/>
      <c r="R194" s="352"/>
      <c r="S194" s="352"/>
    </row>
    <row r="195" spans="1:19" s="353" customFormat="1">
      <c r="A195" s="351"/>
      <c r="B195" s="347"/>
      <c r="C195" s="357"/>
      <c r="D195" s="347"/>
      <c r="E195" s="347"/>
      <c r="F195" s="347"/>
      <c r="G195" s="347"/>
      <c r="H195" s="347"/>
      <c r="I195" s="347"/>
      <c r="J195" s="347"/>
      <c r="K195" s="347"/>
      <c r="L195" s="347"/>
      <c r="M195" s="347"/>
      <c r="N195" s="347"/>
      <c r="O195" s="347"/>
      <c r="P195" s="347"/>
      <c r="Q195" s="347"/>
      <c r="R195" s="352"/>
      <c r="S195" s="352"/>
    </row>
    <row r="196" spans="1:19" s="353" customFormat="1">
      <c r="A196" s="351"/>
      <c r="B196" s="347"/>
      <c r="C196" s="358" t="s">
        <v>962</v>
      </c>
      <c r="D196" s="349"/>
      <c r="E196" s="349" t="s">
        <v>964</v>
      </c>
      <c r="F196" s="349"/>
      <c r="G196" s="349" t="s">
        <v>953</v>
      </c>
      <c r="H196" s="349"/>
      <c r="I196" s="347"/>
      <c r="J196" s="347"/>
      <c r="K196" s="347"/>
      <c r="L196" s="347"/>
      <c r="M196" s="347"/>
      <c r="N196" s="347"/>
      <c r="O196" s="347"/>
      <c r="P196" s="347"/>
      <c r="Q196" s="347"/>
      <c r="R196" s="352"/>
      <c r="S196" s="352"/>
    </row>
    <row r="197" spans="1:19" s="353" customFormat="1">
      <c r="A197" s="351"/>
      <c r="B197" s="347" t="s">
        <v>960</v>
      </c>
      <c r="C197" s="358">
        <f>C194</f>
        <v>0.308323520916159</v>
      </c>
      <c r="D197" s="349" t="s">
        <v>966</v>
      </c>
      <c r="E197" s="349">
        <v>2</v>
      </c>
      <c r="F197" s="349" t="s">
        <v>963</v>
      </c>
      <c r="G197" s="348">
        <f>C197*E197</f>
        <v>0.616647041832318</v>
      </c>
      <c r="H197" s="349" t="s">
        <v>23</v>
      </c>
      <c r="I197" s="347"/>
      <c r="J197" s="347"/>
      <c r="K197" s="347"/>
      <c r="L197" s="347"/>
      <c r="M197" s="347"/>
      <c r="N197" s="347"/>
      <c r="O197" s="347"/>
      <c r="P197" s="347"/>
      <c r="Q197" s="347"/>
      <c r="R197" s="352"/>
      <c r="S197" s="352"/>
    </row>
    <row r="198" spans="1:19" s="353" customFormat="1">
      <c r="A198" s="351"/>
      <c r="B198" s="347"/>
      <c r="C198" s="357"/>
      <c r="D198" s="347"/>
      <c r="E198" s="347"/>
      <c r="F198" s="347"/>
      <c r="G198" s="347"/>
      <c r="H198" s="347"/>
      <c r="I198" s="347"/>
      <c r="J198" s="347"/>
      <c r="K198" s="347"/>
      <c r="L198" s="347"/>
      <c r="M198" s="347"/>
      <c r="N198" s="347"/>
      <c r="O198" s="347"/>
      <c r="P198" s="347"/>
      <c r="Q198" s="347"/>
      <c r="R198" s="352"/>
      <c r="S198" s="352"/>
    </row>
    <row r="199" spans="1:19" s="353" customFormat="1">
      <c r="A199" s="351"/>
      <c r="B199" s="347"/>
      <c r="C199" s="357"/>
      <c r="D199" s="347"/>
      <c r="E199" s="347"/>
      <c r="F199" s="347"/>
      <c r="G199" s="347"/>
      <c r="H199" s="347"/>
      <c r="I199" s="347"/>
      <c r="J199" s="347"/>
      <c r="K199" s="347"/>
      <c r="L199" s="347"/>
      <c r="M199" s="347"/>
      <c r="N199" s="347"/>
      <c r="O199" s="347"/>
      <c r="P199" s="347"/>
      <c r="Q199" s="347"/>
      <c r="R199" s="352"/>
      <c r="S199" s="352"/>
    </row>
    <row r="200" spans="1:19" s="353" customFormat="1">
      <c r="A200" s="351"/>
      <c r="B200" s="367" t="s">
        <v>960</v>
      </c>
      <c r="C200" s="368">
        <f>ROUND((G197+G171+G145+G119+G93),2)</f>
        <v>10.59</v>
      </c>
      <c r="D200" s="368" t="s">
        <v>23</v>
      </c>
      <c r="E200" s="347"/>
      <c r="F200" s="347"/>
      <c r="G200" s="347"/>
      <c r="H200" s="347"/>
      <c r="I200" s="347"/>
      <c r="J200" s="347"/>
      <c r="K200" s="347"/>
      <c r="L200" s="347"/>
      <c r="M200" s="347"/>
      <c r="N200" s="347"/>
      <c r="O200" s="347"/>
      <c r="P200" s="347"/>
      <c r="Q200" s="347"/>
      <c r="R200" s="352"/>
      <c r="S200" s="352"/>
    </row>
    <row r="201" spans="1:19" s="353" customFormat="1">
      <c r="A201" s="351"/>
      <c r="B201" s="355"/>
      <c r="C201" s="355"/>
      <c r="D201" s="355"/>
      <c r="E201" s="355"/>
      <c r="F201" s="355"/>
      <c r="G201" s="355"/>
      <c r="H201" s="355"/>
      <c r="I201" s="355"/>
      <c r="J201" s="355"/>
      <c r="K201" s="355"/>
      <c r="L201" s="355"/>
      <c r="M201" s="355"/>
      <c r="N201" s="355"/>
      <c r="O201" s="355"/>
      <c r="P201" s="355"/>
      <c r="Q201" s="355"/>
      <c r="R201" s="352"/>
      <c r="S201" s="352"/>
    </row>
    <row r="202" spans="1:19" ht="12.75" customHeight="1">
      <c r="A202" s="373" t="s">
        <v>578</v>
      </c>
      <c r="B202" s="546" t="s">
        <v>968</v>
      </c>
      <c r="C202" s="546"/>
      <c r="D202" s="546"/>
      <c r="E202" s="546"/>
      <c r="F202" s="546"/>
      <c r="G202" s="546"/>
      <c r="H202" s="546"/>
      <c r="I202" s="546"/>
      <c r="J202" s="546"/>
      <c r="K202" s="546"/>
      <c r="L202" s="546"/>
      <c r="M202" s="546"/>
      <c r="N202" s="546"/>
      <c r="O202" s="546"/>
      <c r="P202" s="546"/>
      <c r="Q202" s="546"/>
      <c r="R202" s="369">
        <f>R67</f>
        <v>10.59</v>
      </c>
      <c r="S202" s="370" t="s">
        <v>23</v>
      </c>
    </row>
    <row r="203" spans="1:19">
      <c r="A203" s="329"/>
      <c r="B203" s="346" t="s">
        <v>965</v>
      </c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3"/>
      <c r="S203" s="333"/>
    </row>
    <row r="204" spans="1:19">
      <c r="A204" s="329"/>
      <c r="B204" s="254"/>
      <c r="C204" s="254"/>
      <c r="D204" s="254"/>
      <c r="E204" s="254"/>
      <c r="F204" s="254"/>
      <c r="G204" s="254"/>
      <c r="H204" s="254"/>
      <c r="I204" s="254"/>
      <c r="J204" s="254"/>
      <c r="K204" s="254"/>
      <c r="L204" s="254"/>
      <c r="M204" s="254"/>
      <c r="N204" s="254"/>
      <c r="O204" s="254"/>
      <c r="P204" s="254"/>
      <c r="Q204" s="254"/>
      <c r="R204" s="333"/>
      <c r="S204" s="333"/>
    </row>
    <row r="205" spans="1:19" ht="12.75" customHeight="1">
      <c r="A205" s="374" t="str">
        <f>'BM 01'!A101</f>
        <v>7.0</v>
      </c>
      <c r="B205" s="547" t="str">
        <f>'BM 01'!B101</f>
        <v>IMPERMEABILIZAÇÕES</v>
      </c>
      <c r="C205" s="547"/>
      <c r="D205" s="547"/>
      <c r="E205" s="547"/>
      <c r="F205" s="547"/>
      <c r="G205" s="547"/>
      <c r="H205" s="547"/>
      <c r="I205" s="547"/>
      <c r="J205" s="547"/>
      <c r="K205" s="547"/>
      <c r="L205" s="547"/>
      <c r="M205" s="547"/>
      <c r="N205" s="547"/>
      <c r="O205" s="547"/>
      <c r="P205" s="547"/>
      <c r="Q205" s="547"/>
      <c r="R205" s="343"/>
      <c r="S205" s="343"/>
    </row>
    <row r="206" spans="1:19" ht="12.75" customHeight="1">
      <c r="A206" s="373" t="str">
        <f>'BM 01'!A102</f>
        <v>7.1</v>
      </c>
      <c r="B206" s="546" t="str">
        <f>'BM 01'!B102</f>
        <v>Impermeabilização de estruturas enterradas, com tinta asfáltica, duas demãos</v>
      </c>
      <c r="C206" s="546"/>
      <c r="D206" s="546"/>
      <c r="E206" s="546"/>
      <c r="F206" s="546"/>
      <c r="G206" s="546"/>
      <c r="H206" s="546"/>
      <c r="I206" s="546"/>
      <c r="J206" s="546"/>
      <c r="K206" s="546"/>
      <c r="L206" s="546"/>
      <c r="M206" s="546"/>
      <c r="N206" s="546"/>
      <c r="O206" s="546"/>
      <c r="P206" s="546"/>
      <c r="Q206" s="546"/>
      <c r="R206" s="370">
        <f>R207</f>
        <v>62.849999999999987</v>
      </c>
      <c r="S206" s="372" t="s">
        <v>8</v>
      </c>
    </row>
    <row r="207" spans="1:19">
      <c r="B207" s="8" t="s">
        <v>904</v>
      </c>
      <c r="R207" s="335">
        <f>R35</f>
        <v>62.849999999999987</v>
      </c>
      <c r="S207" s="321" t="s">
        <v>8</v>
      </c>
    </row>
  </sheetData>
  <mergeCells count="55">
    <mergeCell ref="B24:Q24"/>
    <mergeCell ref="B21:Q21"/>
    <mergeCell ref="B22:Q22"/>
    <mergeCell ref="B44:Q44"/>
    <mergeCell ref="B45:Q45"/>
    <mergeCell ref="B37:Q37"/>
    <mergeCell ref="B38:Q38"/>
    <mergeCell ref="B39:Q39"/>
    <mergeCell ref="B40:Q40"/>
    <mergeCell ref="B41:Q41"/>
    <mergeCell ref="B42:Q42"/>
    <mergeCell ref="B43:Q43"/>
    <mergeCell ref="B25:Q25"/>
    <mergeCell ref="B26:Q26"/>
    <mergeCell ref="B29:Q29"/>
    <mergeCell ref="B32:Q32"/>
    <mergeCell ref="B46:Q46"/>
    <mergeCell ref="B49:Q49"/>
    <mergeCell ref="B52:Q52"/>
    <mergeCell ref="B55:Q55"/>
    <mergeCell ref="B58:Q58"/>
    <mergeCell ref="B47:Q47"/>
    <mergeCell ref="B48:Q48"/>
    <mergeCell ref="B13:Q13"/>
    <mergeCell ref="B64:Q64"/>
    <mergeCell ref="B67:Q67"/>
    <mergeCell ref="B202:Q202"/>
    <mergeCell ref="B206:Q206"/>
    <mergeCell ref="B205:Q205"/>
    <mergeCell ref="B69:Q69"/>
    <mergeCell ref="B95:Q95"/>
    <mergeCell ref="B121:Q121"/>
    <mergeCell ref="B147:Q147"/>
    <mergeCell ref="B173:Q173"/>
    <mergeCell ref="B35:Q35"/>
    <mergeCell ref="B27:Q27"/>
    <mergeCell ref="B30:Q30"/>
    <mergeCell ref="B33:Q33"/>
    <mergeCell ref="B61:Q61"/>
    <mergeCell ref="B7:Q7"/>
    <mergeCell ref="B23:Q23"/>
    <mergeCell ref="A2:S2"/>
    <mergeCell ref="A3:S3"/>
    <mergeCell ref="A4:S5"/>
    <mergeCell ref="A6:S6"/>
    <mergeCell ref="B8:Q8"/>
    <mergeCell ref="B9:Q9"/>
    <mergeCell ref="B10:Q10"/>
    <mergeCell ref="B17:Q17"/>
    <mergeCell ref="B18:Q18"/>
    <mergeCell ref="B19:Q19"/>
    <mergeCell ref="B20:Q20"/>
    <mergeCell ref="B12:Q12"/>
    <mergeCell ref="B15:Q15"/>
    <mergeCell ref="B16:Q16"/>
  </mergeCells>
  <conditionalFormatting sqref="R7">
    <cfRule type="cellIs" dxfId="0" priority="1" stopIfTrue="1" operator="equal">
      <formula>0</formula>
    </cfRule>
  </conditionalFormatting>
  <printOptions horizontalCentered="1"/>
  <pageMargins left="0.19685039370078741" right="0.19685039370078741" top="0.78740157480314965" bottom="0.78740157480314965" header="0.39370078740157483" footer="0.31496062992125984"/>
  <pageSetup paperSize="9" scale="58" fitToHeight="0" orientation="portrait" r:id="rId1"/>
  <headerFooter>
    <oddFooter>&amp;C&amp;P / &amp;N</oddFooter>
  </headerFooter>
  <rowBreaks count="2" manualBreakCount="2">
    <brk id="106" max="18" man="1"/>
    <brk id="172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8</vt:i4>
      </vt:variant>
    </vt:vector>
  </HeadingPairs>
  <TitlesOfParts>
    <vt:vector size="13" baseType="lpstr">
      <vt:lpstr>PLAN. ORÇAMENTO</vt:lpstr>
      <vt:lpstr>MEMÓRIA MED 9</vt:lpstr>
      <vt:lpstr>RESUMO MEDIÇÃO</vt:lpstr>
      <vt:lpstr>BM 01</vt:lpstr>
      <vt:lpstr>MEMÓRIA DE CÁLCULO</vt:lpstr>
      <vt:lpstr>'BM 01'!Area_de_impressao</vt:lpstr>
      <vt:lpstr>'MEMÓRIA DE CÁLCULO'!Area_de_impressao</vt:lpstr>
      <vt:lpstr>'MEMÓRIA MED 9'!Area_de_impressao</vt:lpstr>
      <vt:lpstr>'PLAN. ORÇAMENTO'!Area_de_impressao</vt:lpstr>
      <vt:lpstr>'RESUMO MEDIÇÃO'!Area_de_impressao</vt:lpstr>
      <vt:lpstr>'BM 01'!Titulos_de_impressao</vt:lpstr>
      <vt:lpstr>'MEMÓRIA DE CÁLCULO'!Titulos_de_impressao</vt:lpstr>
      <vt:lpstr>'PLAN. ORÇAMENTO'!Titulos_de_impressao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Feitosa</dc:creator>
  <cp:lastModifiedBy>usuário</cp:lastModifiedBy>
  <cp:lastPrinted>2022-10-05T12:58:30Z</cp:lastPrinted>
  <dcterms:created xsi:type="dcterms:W3CDTF">2016-07-06T18:05:12Z</dcterms:created>
  <dcterms:modified xsi:type="dcterms:W3CDTF">2024-08-22T12:40:55Z</dcterms:modified>
</cp:coreProperties>
</file>