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3" activeTab="4"/>
  </bookViews>
  <sheets>
    <sheet name="PLAN. ORÇAMENTO" sheetId="1" state="hidden" r:id="rId1"/>
    <sheet name="MEMÓRIA MED 9" sheetId="2" state="hidden" r:id="rId2"/>
    <sheet name="RESUMO MEDIÇÃO" sheetId="4" state="hidden" r:id="rId3"/>
    <sheet name="BM 01" sheetId="8" r:id="rId4"/>
    <sheet name="BM 04" sheetId="10" r:id="rId5"/>
    <sheet name="MEMÓRIA DE CÁLCULO" sheetId="9" r:id="rId6"/>
  </sheets>
  <externalReferences>
    <externalReference r:id="rId7"/>
    <externalReference r:id="rId8"/>
  </externalReferences>
  <definedNames>
    <definedName name="_xlnm._FilterDatabase" localSheetId="3" hidden="1">'BM 01'!$A$15:$M$269</definedName>
    <definedName name="_xlnm._FilterDatabase" localSheetId="0" hidden="1">'PLAN. ORÇAMENTO'!$A$25:$AB$239</definedName>
    <definedName name="_xlnm.Print_Area" localSheetId="3">'BM 01'!$A$1:$M$267</definedName>
    <definedName name="_xlnm.Print_Area" localSheetId="4">'BM 04'!$A$1:$M$268</definedName>
    <definedName name="_xlnm.Print_Area" localSheetId="5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'BM 04'!$1:$15</definedName>
    <definedName name="_xlnm.Print_Titles" localSheetId="5">'MEMÓRIA DE CÁLCULO'!$1:$7</definedName>
    <definedName name="_xlnm.Print_Titles" localSheetId="0">'PLAN. ORÇAMENTO'!$1:$25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6" i="10"/>
  <c r="K31"/>
  <c r="K39"/>
  <c r="K40"/>
  <c r="K48"/>
  <c r="K49"/>
  <c r="K53"/>
  <c r="K54"/>
  <c r="K55"/>
  <c r="K57"/>
  <c r="K59"/>
  <c r="K60"/>
  <c r="K62"/>
  <c r="K63"/>
  <c r="K65"/>
  <c r="K66"/>
  <c r="K69"/>
  <c r="K70"/>
  <c r="K87"/>
  <c r="K242"/>
  <c r="M61"/>
  <c r="L61"/>
  <c r="K61"/>
  <c r="M52"/>
  <c r="L52"/>
  <c r="K52"/>
  <c r="M70"/>
  <c r="M69"/>
  <c r="M67"/>
  <c r="M66"/>
  <c r="M65"/>
  <c r="M63"/>
  <c r="M62"/>
  <c r="K241"/>
  <c r="K86"/>
  <c r="I56"/>
  <c r="L56"/>
  <c r="I66"/>
  <c r="L26" l="1"/>
  <c r="I70"/>
  <c r="I69"/>
  <c r="L67"/>
  <c r="L66"/>
  <c r="I65"/>
  <c r="L65"/>
  <c r="L64"/>
  <c r="L63"/>
  <c r="I63"/>
  <c r="I62"/>
  <c r="L62"/>
  <c r="I60"/>
  <c r="L60"/>
  <c r="I59"/>
  <c r="L59"/>
  <c r="L58"/>
  <c r="I57"/>
  <c r="L57"/>
  <c r="I54"/>
  <c r="L54"/>
  <c r="I53"/>
  <c r="L53"/>
  <c r="L40"/>
  <c r="L39"/>
  <c r="L31"/>
  <c r="L27" s="1"/>
  <c r="L51" l="1"/>
  <c r="I242"/>
  <c r="M242" s="1"/>
  <c r="M87"/>
  <c r="I87"/>
  <c r="I24"/>
  <c r="L87"/>
  <c r="L242"/>
  <c r="K24"/>
  <c r="K101" l="1"/>
  <c r="K80"/>
  <c r="K64"/>
  <c r="K68"/>
  <c r="K71"/>
  <c r="K73"/>
  <c r="K74"/>
  <c r="K75"/>
  <c r="K76"/>
  <c r="K72" s="1"/>
  <c r="K77"/>
  <c r="K78"/>
  <c r="K79"/>
  <c r="K58"/>
  <c r="K46"/>
  <c r="K47"/>
  <c r="K44"/>
  <c r="K45"/>
  <c r="K43"/>
  <c r="M40"/>
  <c r="M39"/>
  <c r="K28"/>
  <c r="K27" s="1"/>
  <c r="K41"/>
  <c r="M29"/>
  <c r="M31"/>
  <c r="M32"/>
  <c r="M33"/>
  <c r="M34"/>
  <c r="M35"/>
  <c r="M36"/>
  <c r="M37"/>
  <c r="M38"/>
  <c r="M41"/>
  <c r="M28"/>
  <c r="K30"/>
  <c r="M30" s="1"/>
  <c r="L241"/>
  <c r="L86"/>
  <c r="L268" s="1"/>
  <c r="M27" l="1"/>
  <c r="M86"/>
  <c r="M241"/>
  <c r="G70"/>
  <c r="G69"/>
  <c r="G66"/>
  <c r="G65"/>
  <c r="G63"/>
  <c r="G62"/>
  <c r="G60"/>
  <c r="G59"/>
  <c r="G57"/>
  <c r="G56"/>
  <c r="G55"/>
  <c r="G54"/>
  <c r="G53"/>
  <c r="K248"/>
  <c r="K247" s="1"/>
  <c r="M102"/>
  <c r="M101" s="1"/>
  <c r="G23"/>
  <c r="K23" s="1"/>
  <c r="M23"/>
  <c r="M22" s="1"/>
  <c r="M19"/>
  <c r="M64"/>
  <c r="M68"/>
  <c r="M71"/>
  <c r="M58"/>
  <c r="K42"/>
  <c r="K51" l="1"/>
  <c r="L70" l="1"/>
  <c r="L69"/>
  <c r="M48"/>
  <c r="F267"/>
  <c r="F266"/>
  <c r="F265"/>
  <c r="F262"/>
  <c r="F261"/>
  <c r="F260" s="1"/>
  <c r="F257"/>
  <c r="F256" s="1"/>
  <c r="F253"/>
  <c r="F252"/>
  <c r="F251"/>
  <c r="F249"/>
  <c r="F248"/>
  <c r="F245"/>
  <c r="F244"/>
  <c r="F243"/>
  <c r="F242"/>
  <c r="F239"/>
  <c r="F238"/>
  <c r="F237"/>
  <c r="F236"/>
  <c r="F235"/>
  <c r="E232"/>
  <c r="F232" s="1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2"/>
  <c r="F191"/>
  <c r="F190"/>
  <c r="F188"/>
  <c r="F187"/>
  <c r="F186"/>
  <c r="F185"/>
  <c r="F184"/>
  <c r="F183"/>
  <c r="F182"/>
  <c r="F181"/>
  <c r="F180"/>
  <c r="F178"/>
  <c r="F177"/>
  <c r="F176"/>
  <c r="F175"/>
  <c r="F174"/>
  <c r="F172"/>
  <c r="F171"/>
  <c r="F170"/>
  <c r="F169"/>
  <c r="F168"/>
  <c r="F167"/>
  <c r="F166"/>
  <c r="F165"/>
  <c r="F164"/>
  <c r="F163"/>
  <c r="F162"/>
  <c r="F161"/>
  <c r="F160"/>
  <c r="F159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L119"/>
  <c r="L13" s="1"/>
  <c r="F117"/>
  <c r="F116"/>
  <c r="F114"/>
  <c r="F113"/>
  <c r="F112"/>
  <c r="F111"/>
  <c r="F110"/>
  <c r="F109"/>
  <c r="F108"/>
  <c r="F107"/>
  <c r="F103"/>
  <c r="F102"/>
  <c r="F99"/>
  <c r="F98" s="1"/>
  <c r="F97"/>
  <c r="F96"/>
  <c r="F94"/>
  <c r="F93"/>
  <c r="F92"/>
  <c r="F91"/>
  <c r="F87"/>
  <c r="F86" s="1"/>
  <c r="F84"/>
  <c r="F83"/>
  <c r="F82"/>
  <c r="F81"/>
  <c r="F79"/>
  <c r="F78"/>
  <c r="F77"/>
  <c r="F76"/>
  <c r="F75"/>
  <c r="F74"/>
  <c r="F73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M49"/>
  <c r="I49"/>
  <c r="F49"/>
  <c r="I48"/>
  <c r="F48"/>
  <c r="F47"/>
  <c r="F46"/>
  <c r="F45"/>
  <c r="F43"/>
  <c r="F42" s="1"/>
  <c r="F41"/>
  <c r="F40"/>
  <c r="F39"/>
  <c r="F38"/>
  <c r="F37"/>
  <c r="F36"/>
  <c r="F35"/>
  <c r="F34"/>
  <c r="F33"/>
  <c r="F32"/>
  <c r="F31"/>
  <c r="F30"/>
  <c r="F29"/>
  <c r="F28"/>
  <c r="F24"/>
  <c r="F23"/>
  <c r="F22" s="1"/>
  <c r="E20"/>
  <c r="F19"/>
  <c r="F18"/>
  <c r="M17"/>
  <c r="F17"/>
  <c r="L41" i="8"/>
  <c r="M41" s="1"/>
  <c r="I41"/>
  <c r="L23"/>
  <c r="L22" s="1"/>
  <c r="K23"/>
  <c r="L102"/>
  <c r="L101" s="1"/>
  <c r="N12"/>
  <c r="K29"/>
  <c r="M29" s="1"/>
  <c r="K30"/>
  <c r="M30" s="1"/>
  <c r="K28"/>
  <c r="M28" s="1"/>
  <c r="I29"/>
  <c r="I30"/>
  <c r="I28"/>
  <c r="K31"/>
  <c r="L49"/>
  <c r="M49" s="1"/>
  <c r="I49"/>
  <c r="L48"/>
  <c r="M48"/>
  <c r="I48"/>
  <c r="L47"/>
  <c r="I47"/>
  <c r="M46"/>
  <c r="L46"/>
  <c r="I46"/>
  <c r="L45"/>
  <c r="M45" s="1"/>
  <c r="M43"/>
  <c r="M42" s="1"/>
  <c r="L43"/>
  <c r="L42" s="1"/>
  <c r="I43"/>
  <c r="K22"/>
  <c r="L39"/>
  <c r="L40"/>
  <c r="L31"/>
  <c r="L24"/>
  <c r="M24" s="1"/>
  <c r="M31" l="1"/>
  <c r="K20" i="10"/>
  <c r="K16" s="1"/>
  <c r="F61"/>
  <c r="F119"/>
  <c r="L27" i="8"/>
  <c r="L26" s="1"/>
  <c r="F101" i="10"/>
  <c r="M23" i="8"/>
  <c r="M22" s="1"/>
  <c r="F27" i="10"/>
  <c r="F95"/>
  <c r="F158"/>
  <c r="F179"/>
  <c r="F241"/>
  <c r="F52"/>
  <c r="F51" s="1"/>
  <c r="F173"/>
  <c r="F234"/>
  <c r="F72"/>
  <c r="F106"/>
  <c r="F255"/>
  <c r="F264"/>
  <c r="F44"/>
  <c r="F26" s="1"/>
  <c r="F80"/>
  <c r="F90"/>
  <c r="F115"/>
  <c r="F189"/>
  <c r="F194"/>
  <c r="F247"/>
  <c r="F20"/>
  <c r="F16" s="1"/>
  <c r="L44" i="8"/>
  <c r="M47"/>
  <c r="M44" s="1"/>
  <c r="I31"/>
  <c r="I23"/>
  <c r="F250"/>
  <c r="F244"/>
  <c r="F213"/>
  <c r="F201"/>
  <c r="F184"/>
  <c r="F46"/>
  <c r="E232"/>
  <c r="F232" s="1"/>
  <c r="F24"/>
  <c r="M20" i="10" l="1"/>
  <c r="M16" s="1"/>
  <c r="F89"/>
  <c r="L12" s="1"/>
  <c r="F105"/>
  <c r="F157"/>
  <c r="K26"/>
  <c r="E20" i="8"/>
  <c r="L20" s="1"/>
  <c r="M20" s="1"/>
  <c r="N102"/>
  <c r="N101" s="1"/>
  <c r="F20" l="1"/>
  <c r="T19" i="9"/>
  <c r="T168"/>
  <c r="T134"/>
  <c r="T107"/>
  <c r="T79"/>
  <c r="F17" i="8"/>
  <c r="K17" s="1"/>
  <c r="F18"/>
  <c r="F19"/>
  <c r="F23"/>
  <c r="F22" s="1"/>
  <c r="K26" s="1"/>
  <c r="F28"/>
  <c r="F29"/>
  <c r="F30"/>
  <c r="F31"/>
  <c r="F32"/>
  <c r="G32"/>
  <c r="F33"/>
  <c r="G33"/>
  <c r="F34"/>
  <c r="G34"/>
  <c r="F35"/>
  <c r="G35"/>
  <c r="F36"/>
  <c r="G36"/>
  <c r="F37"/>
  <c r="G37"/>
  <c r="F38"/>
  <c r="G38"/>
  <c r="F39"/>
  <c r="F40"/>
  <c r="F41"/>
  <c r="F43"/>
  <c r="F42" s="1"/>
  <c r="F45"/>
  <c r="F47"/>
  <c r="F48"/>
  <c r="F49"/>
  <c r="L51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3"/>
  <c r="F74"/>
  <c r="F75"/>
  <c r="F76"/>
  <c r="F77"/>
  <c r="F78"/>
  <c r="F79"/>
  <c r="F81"/>
  <c r="F82"/>
  <c r="F83"/>
  <c r="F84"/>
  <c r="L86"/>
  <c r="F87"/>
  <c r="F86" s="1"/>
  <c r="L89"/>
  <c r="F91"/>
  <c r="F92"/>
  <c r="F93"/>
  <c r="F94"/>
  <c r="F96"/>
  <c r="F97"/>
  <c r="F99"/>
  <c r="F98" s="1"/>
  <c r="F102"/>
  <c r="F103"/>
  <c r="L105"/>
  <c r="F107"/>
  <c r="F108"/>
  <c r="F109"/>
  <c r="F110"/>
  <c r="F111"/>
  <c r="F112"/>
  <c r="F113"/>
  <c r="F114"/>
  <c r="F116"/>
  <c r="F117"/>
  <c r="L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L157"/>
  <c r="F159"/>
  <c r="F160"/>
  <c r="F161"/>
  <c r="F162"/>
  <c r="F163"/>
  <c r="F164"/>
  <c r="F165"/>
  <c r="F166"/>
  <c r="F167"/>
  <c r="F168"/>
  <c r="F169"/>
  <c r="F170"/>
  <c r="F171"/>
  <c r="F172"/>
  <c r="F174"/>
  <c r="F175"/>
  <c r="F176"/>
  <c r="F177"/>
  <c r="F178"/>
  <c r="F180"/>
  <c r="F181"/>
  <c r="F182"/>
  <c r="F183"/>
  <c r="F185"/>
  <c r="F186"/>
  <c r="F187"/>
  <c r="F188"/>
  <c r="F190"/>
  <c r="F191"/>
  <c r="F192"/>
  <c r="L194"/>
  <c r="F196"/>
  <c r="F197"/>
  <c r="F198"/>
  <c r="F199"/>
  <c r="F200"/>
  <c r="F202"/>
  <c r="F203"/>
  <c r="F204"/>
  <c r="F205"/>
  <c r="F206"/>
  <c r="F207"/>
  <c r="F208"/>
  <c r="F209"/>
  <c r="F210"/>
  <c r="F211"/>
  <c r="F212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5"/>
  <c r="F236"/>
  <c r="F237"/>
  <c r="F238"/>
  <c r="F239"/>
  <c r="F242"/>
  <c r="F243"/>
  <c r="F245"/>
  <c r="F248"/>
  <c r="F249"/>
  <c r="F251"/>
  <c r="F252"/>
  <c r="F253"/>
  <c r="F257"/>
  <c r="F258"/>
  <c r="F259"/>
  <c r="F261"/>
  <c r="F262"/>
  <c r="F265"/>
  <c r="F266"/>
  <c r="F267"/>
  <c r="M17" l="1"/>
  <c r="M16" s="1"/>
  <c r="K16"/>
  <c r="I34"/>
  <c r="K34"/>
  <c r="K35"/>
  <c r="I35"/>
  <c r="M35" s="1"/>
  <c r="K37"/>
  <c r="I37"/>
  <c r="K33"/>
  <c r="I33"/>
  <c r="M33" s="1"/>
  <c r="I38"/>
  <c r="K38"/>
  <c r="K36"/>
  <c r="I36"/>
  <c r="M36" s="1"/>
  <c r="K32"/>
  <c r="I32"/>
  <c r="F264"/>
  <c r="F194"/>
  <c r="F179"/>
  <c r="F173"/>
  <c r="F260"/>
  <c r="F256"/>
  <c r="F241"/>
  <c r="F234"/>
  <c r="F189"/>
  <c r="F158"/>
  <c r="F115"/>
  <c r="F119"/>
  <c r="F106"/>
  <c r="F44"/>
  <c r="F61"/>
  <c r="F52"/>
  <c r="F27"/>
  <c r="F16"/>
  <c r="F72"/>
  <c r="F101"/>
  <c r="F95"/>
  <c r="F90"/>
  <c r="F80"/>
  <c r="F247"/>
  <c r="E189" i="9"/>
  <c r="C189"/>
  <c r="G189" s="1"/>
  <c r="E186"/>
  <c r="C186"/>
  <c r="G182"/>
  <c r="E182"/>
  <c r="C182"/>
  <c r="E163"/>
  <c r="C163"/>
  <c r="E160"/>
  <c r="C160"/>
  <c r="G160" s="1"/>
  <c r="G156"/>
  <c r="E156"/>
  <c r="C156"/>
  <c r="E137"/>
  <c r="C137"/>
  <c r="E134"/>
  <c r="C134"/>
  <c r="G134" s="1"/>
  <c r="G130"/>
  <c r="E130"/>
  <c r="C130"/>
  <c r="E111"/>
  <c r="C111"/>
  <c r="E108"/>
  <c r="C108"/>
  <c r="G104"/>
  <c r="E104"/>
  <c r="C104"/>
  <c r="E85"/>
  <c r="C85"/>
  <c r="G85" s="1"/>
  <c r="E82"/>
  <c r="C82"/>
  <c r="G78"/>
  <c r="E78"/>
  <c r="C78"/>
  <c r="J78" s="1"/>
  <c r="G108" l="1"/>
  <c r="G82"/>
  <c r="F26" i="8"/>
  <c r="G186" i="9"/>
  <c r="C192" s="1"/>
  <c r="F105" i="8"/>
  <c r="F89"/>
  <c r="F157"/>
  <c r="F255"/>
  <c r="F51"/>
  <c r="G111" i="9"/>
  <c r="C114" s="1"/>
  <c r="M37" i="8"/>
  <c r="M38"/>
  <c r="M32"/>
  <c r="L16"/>
  <c r="M34"/>
  <c r="C88" i="9"/>
  <c r="C90" s="1"/>
  <c r="C93" s="1"/>
  <c r="G93" s="1"/>
  <c r="J130"/>
  <c r="J104"/>
  <c r="J156"/>
  <c r="J182"/>
  <c r="G163"/>
  <c r="C166" s="1"/>
  <c r="G137"/>
  <c r="C140" s="1"/>
  <c r="R44"/>
  <c r="R42"/>
  <c r="R40"/>
  <c r="R38"/>
  <c r="R22"/>
  <c r="R16" s="1"/>
  <c r="C116" l="1"/>
  <c r="C119" s="1"/>
  <c r="G119" s="1"/>
  <c r="C168"/>
  <c r="C171" s="1"/>
  <c r="G171" s="1"/>
  <c r="C142"/>
  <c r="C145" s="1"/>
  <c r="G145" s="1"/>
  <c r="C194"/>
  <c r="C197" s="1"/>
  <c r="G197" s="1"/>
  <c r="R35"/>
  <c r="C200" l="1"/>
  <c r="R67" s="1"/>
  <c r="B16"/>
  <c r="A16"/>
  <c r="B15"/>
  <c r="A15"/>
  <c r="R27"/>
  <c r="R26" s="1"/>
  <c r="G39" i="8" l="1"/>
  <c r="R202" i="9"/>
  <c r="G40" i="8" s="1"/>
  <c r="R207" i="9"/>
  <c r="G102" i="8" s="1"/>
  <c r="A206" i="9"/>
  <c r="B206"/>
  <c r="B205"/>
  <c r="A205"/>
  <c r="I102" i="8" l="1"/>
  <c r="K102"/>
  <c r="I39"/>
  <c r="K39"/>
  <c r="K40"/>
  <c r="M40" s="1"/>
  <c r="I40"/>
  <c r="R206" i="9"/>
  <c r="M102" i="8" l="1"/>
  <c r="M101" s="1"/>
  <c r="K101"/>
  <c r="M39"/>
  <c r="M27" s="1"/>
  <c r="M26" s="1"/>
  <c r="K27"/>
  <c r="L13"/>
  <c r="S187" i="1"/>
  <c r="S186"/>
  <c r="S87" l="1"/>
  <c r="S74" l="1"/>
  <c r="H73"/>
  <c r="H101"/>
  <c r="H100"/>
  <c r="H177"/>
  <c r="W87"/>
  <c r="W92"/>
  <c r="AA69"/>
  <c r="X231"/>
  <c r="X230"/>
  <c r="X229"/>
  <c r="X228"/>
  <c r="X227"/>
  <c r="X226"/>
  <c r="X225"/>
  <c r="X224"/>
  <c r="X223"/>
  <c r="X222"/>
  <c r="X221"/>
  <c r="X220"/>
  <c r="X218"/>
  <c r="Y218" s="1"/>
  <c r="X217"/>
  <c r="X216"/>
  <c r="X215"/>
  <c r="X214"/>
  <c r="X213"/>
  <c r="X212"/>
  <c r="X210"/>
  <c r="Y210" s="1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8"/>
  <c r="Y178" s="1"/>
  <c r="X176"/>
  <c r="X175"/>
  <c r="X174"/>
  <c r="X173"/>
  <c r="X171"/>
  <c r="Y171" s="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8"/>
  <c r="Y148" s="1"/>
  <c r="X147"/>
  <c r="X146"/>
  <c r="X145"/>
  <c r="X144"/>
  <c r="X143"/>
  <c r="X142"/>
  <c r="X141"/>
  <c r="Y141" s="1"/>
  <c r="X140"/>
  <c r="Y140" s="1"/>
  <c r="X139"/>
  <c r="X138"/>
  <c r="X137"/>
  <c r="X136"/>
  <c r="Y136" s="1"/>
  <c r="X135"/>
  <c r="Y135" s="1"/>
  <c r="X134"/>
  <c r="X133"/>
  <c r="Y133" s="1"/>
  <c r="X132"/>
  <c r="Y132" s="1"/>
  <c r="X131"/>
  <c r="X130"/>
  <c r="X129"/>
  <c r="X128"/>
  <c r="X127"/>
  <c r="X126"/>
  <c r="X125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X115"/>
  <c r="X114"/>
  <c r="X113"/>
  <c r="X112"/>
  <c r="Y112" s="1"/>
  <c r="X111"/>
  <c r="Y111" s="1"/>
  <c r="X110"/>
  <c r="X109"/>
  <c r="X108"/>
  <c r="X107"/>
  <c r="X105"/>
  <c r="Y105" s="1"/>
  <c r="X104"/>
  <c r="X103"/>
  <c r="X99"/>
  <c r="X98"/>
  <c r="X95"/>
  <c r="Y95" s="1"/>
  <c r="X94"/>
  <c r="X93"/>
  <c r="X91"/>
  <c r="X90"/>
  <c r="X88"/>
  <c r="X86"/>
  <c r="X85"/>
  <c r="X84"/>
  <c r="X83"/>
  <c r="X81"/>
  <c r="Y81" s="1"/>
  <c r="X80"/>
  <c r="X79"/>
  <c r="X78"/>
  <c r="X77"/>
  <c r="X75"/>
  <c r="Y75" s="1"/>
  <c r="X74"/>
  <c r="X71"/>
  <c r="Y71" s="1"/>
  <c r="X69"/>
  <c r="X68"/>
  <c r="X67"/>
  <c r="X66"/>
  <c r="X64"/>
  <c r="X63"/>
  <c r="X61"/>
  <c r="Y61" s="1"/>
  <c r="X60"/>
  <c r="X59"/>
  <c r="X57"/>
  <c r="Y57" s="1"/>
  <c r="X55"/>
  <c r="X52"/>
  <c r="Y52" s="1"/>
  <c r="X51"/>
  <c r="Y51" s="1"/>
  <c r="X50"/>
  <c r="Y50" s="1"/>
  <c r="X49"/>
  <c r="Y49" s="1"/>
  <c r="X47"/>
  <c r="Y47" s="1"/>
  <c r="X46"/>
  <c r="Y46" s="1"/>
  <c r="X45"/>
  <c r="Y45" s="1"/>
  <c r="X44"/>
  <c r="Y44" s="1"/>
  <c r="X41"/>
  <c r="Y41" s="1"/>
  <c r="X40"/>
  <c r="Y40" s="1"/>
  <c r="X39"/>
  <c r="X38"/>
  <c r="Y38" s="1"/>
  <c r="X37"/>
  <c r="X36"/>
  <c r="X34"/>
  <c r="Y34" s="1"/>
  <c r="X33"/>
  <c r="Y33" s="1"/>
  <c r="X32"/>
  <c r="Y32" s="1"/>
  <c r="X31"/>
  <c r="Y31" s="1"/>
  <c r="X30"/>
  <c r="Y30" s="1"/>
  <c r="X29"/>
  <c r="Y29" s="1"/>
  <c r="X28"/>
  <c r="Y28" s="1"/>
  <c r="W77"/>
  <c r="Y77" s="1"/>
  <c r="W231"/>
  <c r="W230"/>
  <c r="W229"/>
  <c r="W228"/>
  <c r="W227"/>
  <c r="W226"/>
  <c r="W225"/>
  <c r="W224"/>
  <c r="W223"/>
  <c r="W222"/>
  <c r="W221"/>
  <c r="W220"/>
  <c r="W217"/>
  <c r="W216"/>
  <c r="W215"/>
  <c r="W214"/>
  <c r="W213"/>
  <c r="W212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Y184" s="1"/>
  <c r="W183"/>
  <c r="W182"/>
  <c r="W181"/>
  <c r="W180"/>
  <c r="W177"/>
  <c r="W176"/>
  <c r="W175"/>
  <c r="W174"/>
  <c r="W173"/>
  <c r="W170"/>
  <c r="Y170" s="1"/>
  <c r="W169"/>
  <c r="Y169" s="1"/>
  <c r="W168"/>
  <c r="Y168" s="1"/>
  <c r="W167"/>
  <c r="Y167" s="1"/>
  <c r="W166"/>
  <c r="Y166" s="1"/>
  <c r="W165"/>
  <c r="Y165" s="1"/>
  <c r="W164"/>
  <c r="Y164" s="1"/>
  <c r="W163"/>
  <c r="W162"/>
  <c r="Y162" s="1"/>
  <c r="W161"/>
  <c r="Y161" s="1"/>
  <c r="W160"/>
  <c r="Y160" s="1"/>
  <c r="W159"/>
  <c r="Y159" s="1"/>
  <c r="W158"/>
  <c r="Y158" s="1"/>
  <c r="W157"/>
  <c r="Y157" s="1"/>
  <c r="W156"/>
  <c r="Y156" s="1"/>
  <c r="W155"/>
  <c r="Y155" s="1"/>
  <c r="W154"/>
  <c r="Y154" s="1"/>
  <c r="W153"/>
  <c r="Y153" s="1"/>
  <c r="W152"/>
  <c r="W151"/>
  <c r="Y151" s="1"/>
  <c r="W150"/>
  <c r="Y150" s="1"/>
  <c r="W147"/>
  <c r="W146"/>
  <c r="W145"/>
  <c r="W144"/>
  <c r="W143"/>
  <c r="W138"/>
  <c r="W137"/>
  <c r="W131"/>
  <c r="W130"/>
  <c r="W129"/>
  <c r="W128"/>
  <c r="W127"/>
  <c r="W126"/>
  <c r="W125"/>
  <c r="W116"/>
  <c r="W115"/>
  <c r="W114"/>
  <c r="W113"/>
  <c r="W110"/>
  <c r="Y110" s="1"/>
  <c r="W109"/>
  <c r="Y109" s="1"/>
  <c r="W108"/>
  <c r="W107"/>
  <c r="Y107" s="1"/>
  <c r="W104"/>
  <c r="W103"/>
  <c r="W102"/>
  <c r="W101"/>
  <c r="W100"/>
  <c r="W99"/>
  <c r="W98"/>
  <c r="W97"/>
  <c r="W94"/>
  <c r="W93"/>
  <c r="W91"/>
  <c r="W90"/>
  <c r="W86"/>
  <c r="W85"/>
  <c r="W84"/>
  <c r="W83"/>
  <c r="W80"/>
  <c r="Y80" s="1"/>
  <c r="W79"/>
  <c r="Y79" s="1"/>
  <c r="W78"/>
  <c r="Y78" s="1"/>
  <c r="W74"/>
  <c r="W73"/>
  <c r="W70"/>
  <c r="W69"/>
  <c r="W68"/>
  <c r="W67"/>
  <c r="W66"/>
  <c r="W63"/>
  <c r="W60"/>
  <c r="W59"/>
  <c r="W56"/>
  <c r="W55"/>
  <c r="W37"/>
  <c r="AA87"/>
  <c r="AA231"/>
  <c r="AA230"/>
  <c r="AA229"/>
  <c r="AA228"/>
  <c r="AA227"/>
  <c r="AA226"/>
  <c r="AA225"/>
  <c r="AA224"/>
  <c r="AA222"/>
  <c r="AA221"/>
  <c r="AA220"/>
  <c r="AA217"/>
  <c r="AA216"/>
  <c r="AA215"/>
  <c r="AA214"/>
  <c r="AA213"/>
  <c r="AA212"/>
  <c r="AA209"/>
  <c r="AA208"/>
  <c r="AA207"/>
  <c r="AA200"/>
  <c r="AA199"/>
  <c r="AA198"/>
  <c r="AA197"/>
  <c r="AA196"/>
  <c r="AA195"/>
  <c r="AA194"/>
  <c r="AA193"/>
  <c r="AA192"/>
  <c r="AA191"/>
  <c r="AA190"/>
  <c r="AA189"/>
  <c r="AA188"/>
  <c r="AA187"/>
  <c r="AA186"/>
  <c r="AA184"/>
  <c r="AA183"/>
  <c r="AA182"/>
  <c r="AA181"/>
  <c r="AA180"/>
  <c r="AA176"/>
  <c r="AA173"/>
  <c r="AA170"/>
  <c r="AA163"/>
  <c r="AA159"/>
  <c r="AA153"/>
  <c r="AA147"/>
  <c r="AA146"/>
  <c r="AA138"/>
  <c r="AA137"/>
  <c r="AA115"/>
  <c r="AA114"/>
  <c r="AA113"/>
  <c r="AA104"/>
  <c r="AA103"/>
  <c r="AA99"/>
  <c r="AA98"/>
  <c r="AA94"/>
  <c r="AA93"/>
  <c r="AA91"/>
  <c r="AA86"/>
  <c r="AA83"/>
  <c r="AA80"/>
  <c r="AA79"/>
  <c r="AA78"/>
  <c r="AA77"/>
  <c r="AA74"/>
  <c r="AA68"/>
  <c r="AA66"/>
  <c r="AA55"/>
  <c r="AA37"/>
  <c r="AA101"/>
  <c r="X101"/>
  <c r="AA100"/>
  <c r="X100"/>
  <c r="X102"/>
  <c r="AA102"/>
  <c r="T223"/>
  <c r="U223" s="1"/>
  <c r="V223" s="1"/>
  <c r="T232"/>
  <c r="T231"/>
  <c r="U231" s="1"/>
  <c r="T230"/>
  <c r="T229"/>
  <c r="T228"/>
  <c r="U228" s="1"/>
  <c r="T227"/>
  <c r="U227" s="1"/>
  <c r="T226"/>
  <c r="U226" s="1"/>
  <c r="T225"/>
  <c r="U225" s="1"/>
  <c r="T224"/>
  <c r="U224" s="1"/>
  <c r="T222"/>
  <c r="U222" s="1"/>
  <c r="T221"/>
  <c r="T220"/>
  <c r="U220" s="1"/>
  <c r="F220" s="1"/>
  <c r="T218"/>
  <c r="T217"/>
  <c r="U217" s="1"/>
  <c r="T216"/>
  <c r="U216" s="1"/>
  <c r="F216" s="1"/>
  <c r="T215"/>
  <c r="U215" s="1"/>
  <c r="T214"/>
  <c r="U214" s="1"/>
  <c r="T213"/>
  <c r="U213" s="1"/>
  <c r="T212"/>
  <c r="U212" s="1"/>
  <c r="F212" s="1"/>
  <c r="T210"/>
  <c r="T209"/>
  <c r="U209" s="1"/>
  <c r="T208"/>
  <c r="U208" s="1"/>
  <c r="T207"/>
  <c r="U207" s="1"/>
  <c r="T206"/>
  <c r="U206" s="1"/>
  <c r="V206" s="1"/>
  <c r="T205"/>
  <c r="U205" s="1"/>
  <c r="V205" s="1"/>
  <c r="T204"/>
  <c r="U204" s="1"/>
  <c r="V204" s="1"/>
  <c r="T203"/>
  <c r="T202"/>
  <c r="U202" s="1"/>
  <c r="V202" s="1"/>
  <c r="T201"/>
  <c r="U201" s="1"/>
  <c r="V201" s="1"/>
  <c r="T200"/>
  <c r="U200" s="1"/>
  <c r="T199"/>
  <c r="T198"/>
  <c r="U198" s="1"/>
  <c r="F198" s="1"/>
  <c r="T197"/>
  <c r="U197" s="1"/>
  <c r="T196"/>
  <c r="U196" s="1"/>
  <c r="T195"/>
  <c r="U195" s="1"/>
  <c r="T194"/>
  <c r="U194" s="1"/>
  <c r="F194" s="1"/>
  <c r="T193"/>
  <c r="U193" s="1"/>
  <c r="T192"/>
  <c r="U192" s="1"/>
  <c r="T191"/>
  <c r="U191" s="1"/>
  <c r="V191" s="1"/>
  <c r="T190"/>
  <c r="U190" s="1"/>
  <c r="F190" s="1"/>
  <c r="T189"/>
  <c r="U189" s="1"/>
  <c r="T188"/>
  <c r="U188" s="1"/>
  <c r="T187"/>
  <c r="U187" s="1"/>
  <c r="T186"/>
  <c r="U186" s="1"/>
  <c r="T185"/>
  <c r="U185" s="1"/>
  <c r="V185" s="1"/>
  <c r="T184"/>
  <c r="U184" s="1"/>
  <c r="T183"/>
  <c r="U183" s="1"/>
  <c r="F183" s="1"/>
  <c r="T182"/>
  <c r="U182" s="1"/>
  <c r="T181"/>
  <c r="U181" s="1"/>
  <c r="T180"/>
  <c r="U180" s="1"/>
  <c r="T178"/>
  <c r="T176"/>
  <c r="U176" s="1"/>
  <c r="T175"/>
  <c r="U175" s="1"/>
  <c r="V175" s="1"/>
  <c r="T174"/>
  <c r="U174" s="1"/>
  <c r="V174" s="1"/>
  <c r="T173"/>
  <c r="U173" s="1"/>
  <c r="F173" s="1"/>
  <c r="T171"/>
  <c r="T170"/>
  <c r="U170" s="1"/>
  <c r="F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T162"/>
  <c r="U162" s="1"/>
  <c r="V162" s="1"/>
  <c r="T161"/>
  <c r="U161" s="1"/>
  <c r="V161" s="1"/>
  <c r="T160"/>
  <c r="U160" s="1"/>
  <c r="V160" s="1"/>
  <c r="T159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T152"/>
  <c r="U152" s="1"/>
  <c r="V152" s="1"/>
  <c r="T151"/>
  <c r="U151" s="1"/>
  <c r="V151" s="1"/>
  <c r="T150"/>
  <c r="U150" s="1"/>
  <c r="V150" s="1"/>
  <c r="T148"/>
  <c r="T147"/>
  <c r="U147" s="1"/>
  <c r="V147" s="1"/>
  <c r="T146"/>
  <c r="U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T136"/>
  <c r="U136" s="1"/>
  <c r="V136" s="1"/>
  <c r="T135"/>
  <c r="U135" s="1"/>
  <c r="V135" s="1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U123" s="1"/>
  <c r="V123" s="1"/>
  <c r="T122"/>
  <c r="U122" s="1"/>
  <c r="V122" s="1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T114"/>
  <c r="U114" s="1"/>
  <c r="T113"/>
  <c r="U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5"/>
  <c r="T104"/>
  <c r="U104" s="1"/>
  <c r="T103"/>
  <c r="U103" s="1"/>
  <c r="V103" s="1"/>
  <c r="T102"/>
  <c r="U102" s="1"/>
  <c r="V102" s="1"/>
  <c r="T101"/>
  <c r="T100"/>
  <c r="U100" s="1"/>
  <c r="T99"/>
  <c r="U99" s="1"/>
  <c r="T98"/>
  <c r="U98" s="1"/>
  <c r="V98" s="1"/>
  <c r="T95"/>
  <c r="T94"/>
  <c r="U94" s="1"/>
  <c r="T93"/>
  <c r="U93" s="1"/>
  <c r="V93" s="1"/>
  <c r="T91"/>
  <c r="U91" s="1"/>
  <c r="V91" s="1"/>
  <c r="T90"/>
  <c r="U90" s="1"/>
  <c r="V90" s="1"/>
  <c r="T88"/>
  <c r="T86"/>
  <c r="U86" s="1"/>
  <c r="T85"/>
  <c r="U85" s="1"/>
  <c r="V85" s="1"/>
  <c r="T84"/>
  <c r="U84" s="1"/>
  <c r="V84" s="1"/>
  <c r="T83"/>
  <c r="U83" s="1"/>
  <c r="V83" s="1"/>
  <c r="T81"/>
  <c r="T80"/>
  <c r="U80" s="1"/>
  <c r="T79"/>
  <c r="U79" s="1"/>
  <c r="T78"/>
  <c r="U78" s="1"/>
  <c r="T77"/>
  <c r="U77" s="1"/>
  <c r="T75"/>
  <c r="T74"/>
  <c r="U74" s="1"/>
  <c r="T71"/>
  <c r="T69"/>
  <c r="U69" s="1"/>
  <c r="T68"/>
  <c r="U68" s="1"/>
  <c r="F68" s="1"/>
  <c r="T67"/>
  <c r="U67" s="1"/>
  <c r="V67" s="1"/>
  <c r="T66"/>
  <c r="U66" s="1"/>
  <c r="T64"/>
  <c r="T63"/>
  <c r="U63" s="1"/>
  <c r="V63" s="1"/>
  <c r="V62" s="1"/>
  <c r="T61"/>
  <c r="T60"/>
  <c r="U60" s="1"/>
  <c r="V60" s="1"/>
  <c r="T59"/>
  <c r="U59" s="1"/>
  <c r="V59" s="1"/>
  <c r="T57"/>
  <c r="T55"/>
  <c r="U55" s="1"/>
  <c r="T52"/>
  <c r="T51"/>
  <c r="U51" s="1"/>
  <c r="V51" s="1"/>
  <c r="T50"/>
  <c r="U50" s="1"/>
  <c r="V50" s="1"/>
  <c r="T49"/>
  <c r="U49" s="1"/>
  <c r="V49" s="1"/>
  <c r="T47"/>
  <c r="T46"/>
  <c r="U46" s="1"/>
  <c r="V46" s="1"/>
  <c r="T45"/>
  <c r="U45" s="1"/>
  <c r="V45" s="1"/>
  <c r="T44"/>
  <c r="U44" s="1"/>
  <c r="V44" s="1"/>
  <c r="T41"/>
  <c r="T40"/>
  <c r="U40" s="1"/>
  <c r="V40" s="1"/>
  <c r="T39"/>
  <c r="U39" s="1"/>
  <c r="V39" s="1"/>
  <c r="T38"/>
  <c r="U38" s="1"/>
  <c r="V38" s="1"/>
  <c r="T36"/>
  <c r="U36" s="1"/>
  <c r="V36" s="1"/>
  <c r="T34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37"/>
  <c r="U37" s="1"/>
  <c r="V34"/>
  <c r="V41"/>
  <c r="V47"/>
  <c r="V218"/>
  <c r="V210"/>
  <c r="V178"/>
  <c r="V171"/>
  <c r="V148"/>
  <c r="V105"/>
  <c r="V95"/>
  <c r="V88"/>
  <c r="V81"/>
  <c r="V75"/>
  <c r="V71"/>
  <c r="V64"/>
  <c r="V61"/>
  <c r="V57"/>
  <c r="V52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2"/>
  <c r="T241"/>
  <c r="T240"/>
  <c r="U230"/>
  <c r="V230" s="1"/>
  <c r="U229"/>
  <c r="F229" s="1"/>
  <c r="U221"/>
  <c r="F221" s="1"/>
  <c r="U203"/>
  <c r="V203" s="1"/>
  <c r="U199"/>
  <c r="V199" s="1"/>
  <c r="U159"/>
  <c r="V159" s="1"/>
  <c r="I67"/>
  <c r="I60"/>
  <c r="I59"/>
  <c r="P244"/>
  <c r="Q245" s="1"/>
  <c r="T245" s="1"/>
  <c r="Z101"/>
  <c r="Z100"/>
  <c r="Z73"/>
  <c r="C76" i="2"/>
  <c r="C78" s="1"/>
  <c r="C92"/>
  <c r="C94" s="1"/>
  <c r="C82" s="1"/>
  <c r="C21"/>
  <c r="C23" s="1"/>
  <c r="U101" i="1"/>
  <c r="F101" s="1"/>
  <c r="AB101"/>
  <c r="AB73"/>
  <c r="AB10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4"/>
  <c r="AA242"/>
  <c r="AA241"/>
  <c r="AA240"/>
  <c r="AA239"/>
  <c r="AA238"/>
  <c r="AA237"/>
  <c r="AA236"/>
  <c r="AA235"/>
  <c r="AA234"/>
  <c r="AA232"/>
  <c r="AA223"/>
  <c r="AA218"/>
  <c r="AA210"/>
  <c r="AA206"/>
  <c r="AA205"/>
  <c r="AA204"/>
  <c r="AA203"/>
  <c r="AA202"/>
  <c r="AA201"/>
  <c r="AA185"/>
  <c r="AA178"/>
  <c r="AA175"/>
  <c r="AA174"/>
  <c r="AA171"/>
  <c r="AA169"/>
  <c r="AA168"/>
  <c r="AA167"/>
  <c r="AA166"/>
  <c r="AA165"/>
  <c r="AA164"/>
  <c r="AA162"/>
  <c r="AA161"/>
  <c r="AA160"/>
  <c r="AA158"/>
  <c r="AA157"/>
  <c r="AA156"/>
  <c r="AA155"/>
  <c r="AA154"/>
  <c r="AA152"/>
  <c r="AA151"/>
  <c r="AA150"/>
  <c r="AA148"/>
  <c r="AA145"/>
  <c r="AA144"/>
  <c r="AA143"/>
  <c r="AA142"/>
  <c r="AA141"/>
  <c r="AA140"/>
  <c r="AA139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2"/>
  <c r="AA111"/>
  <c r="AA110"/>
  <c r="AA109"/>
  <c r="AA108"/>
  <c r="AA107"/>
  <c r="AA105"/>
  <c r="AA95"/>
  <c r="AA90"/>
  <c r="AA88"/>
  <c r="AA85"/>
  <c r="AA84"/>
  <c r="AA81"/>
  <c r="AA75"/>
  <c r="AA71"/>
  <c r="AA67"/>
  <c r="AA64"/>
  <c r="AA63"/>
  <c r="AA62" s="1"/>
  <c r="AA61"/>
  <c r="AA60"/>
  <c r="AA59"/>
  <c r="AA57"/>
  <c r="AA52"/>
  <c r="AA51"/>
  <c r="AA50"/>
  <c r="AA49"/>
  <c r="AA47"/>
  <c r="AA46"/>
  <c r="AA45"/>
  <c r="AA44"/>
  <c r="AA41"/>
  <c r="AA40"/>
  <c r="AA39"/>
  <c r="AA38"/>
  <c r="AA36"/>
  <c r="AA34"/>
  <c r="AA33"/>
  <c r="AA32"/>
  <c r="AA31"/>
  <c r="AA30"/>
  <c r="AA29"/>
  <c r="AA28"/>
  <c r="AB37"/>
  <c r="AB225"/>
  <c r="AB231"/>
  <c r="AB230"/>
  <c r="AB229"/>
  <c r="AB228"/>
  <c r="AB227"/>
  <c r="AB226"/>
  <c r="AB224"/>
  <c r="AB223"/>
  <c r="AB222"/>
  <c r="AB221"/>
  <c r="AB220"/>
  <c r="AB217"/>
  <c r="AB216"/>
  <c r="AB215"/>
  <c r="AB214"/>
  <c r="AB213"/>
  <c r="AB212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7"/>
  <c r="AB176"/>
  <c r="AB175"/>
  <c r="AB174"/>
  <c r="AB173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7"/>
  <c r="AB146"/>
  <c r="AB145"/>
  <c r="AB144"/>
  <c r="AB143"/>
  <c r="AB138"/>
  <c r="AB137"/>
  <c r="AB131"/>
  <c r="AB130"/>
  <c r="AB129"/>
  <c r="AB128"/>
  <c r="AB127"/>
  <c r="AB126"/>
  <c r="AB125"/>
  <c r="AB116"/>
  <c r="AB115"/>
  <c r="AB114"/>
  <c r="AB113"/>
  <c r="AB110"/>
  <c r="AB109"/>
  <c r="AB108"/>
  <c r="AB107"/>
  <c r="AB104"/>
  <c r="AB103"/>
  <c r="AB102"/>
  <c r="AB99"/>
  <c r="AB98"/>
  <c r="AB97"/>
  <c r="AB94"/>
  <c r="AB93"/>
  <c r="AB92"/>
  <c r="AB91"/>
  <c r="AB90"/>
  <c r="AB87"/>
  <c r="AB86"/>
  <c r="AB85"/>
  <c r="AB84"/>
  <c r="AB83"/>
  <c r="AB80"/>
  <c r="AB79"/>
  <c r="AB78"/>
  <c r="AB77"/>
  <c r="AB74"/>
  <c r="AB70"/>
  <c r="AB69"/>
  <c r="AB68"/>
  <c r="AB67"/>
  <c r="AB66"/>
  <c r="AB63"/>
  <c r="AB62" s="1"/>
  <c r="AB60"/>
  <c r="AB59"/>
  <c r="AB56"/>
  <c r="AB55"/>
  <c r="Z228"/>
  <c r="Z231"/>
  <c r="Z230"/>
  <c r="Z229"/>
  <c r="Z227"/>
  <c r="Z226"/>
  <c r="Z225"/>
  <c r="Z224"/>
  <c r="Z223"/>
  <c r="Z222"/>
  <c r="Z221"/>
  <c r="Z220"/>
  <c r="Z217"/>
  <c r="Z216"/>
  <c r="Z215"/>
  <c r="Z214"/>
  <c r="Z213"/>
  <c r="Z212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7"/>
  <c r="Z176"/>
  <c r="Z175"/>
  <c r="Z174"/>
  <c r="Z173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7"/>
  <c r="Z146"/>
  <c r="Z145"/>
  <c r="Z144"/>
  <c r="Z143"/>
  <c r="Z138"/>
  <c r="Z137"/>
  <c r="Z131"/>
  <c r="Z130"/>
  <c r="Z129"/>
  <c r="Z128"/>
  <c r="Z127"/>
  <c r="Z126"/>
  <c r="Z125"/>
  <c r="Z116"/>
  <c r="Z115"/>
  <c r="Z114"/>
  <c r="Z113"/>
  <c r="Z110"/>
  <c r="Z109"/>
  <c r="Z108"/>
  <c r="Z107"/>
  <c r="Z104"/>
  <c r="Z103"/>
  <c r="Z102"/>
  <c r="Z99"/>
  <c r="Z98"/>
  <c r="Z97"/>
  <c r="Z94"/>
  <c r="Z93"/>
  <c r="Z92"/>
  <c r="Z91"/>
  <c r="Z90"/>
  <c r="Z87"/>
  <c r="Z86"/>
  <c r="Z85"/>
  <c r="Z84"/>
  <c r="Z83"/>
  <c r="Z80"/>
  <c r="Z79"/>
  <c r="Z78"/>
  <c r="Z77"/>
  <c r="Z74"/>
  <c r="Z70"/>
  <c r="Z69"/>
  <c r="Z68"/>
  <c r="Z67"/>
  <c r="Z66"/>
  <c r="Z63"/>
  <c r="Z62" s="1"/>
  <c r="Z60"/>
  <c r="Z59"/>
  <c r="Z56"/>
  <c r="Z55"/>
  <c r="Z37"/>
  <c r="C55" i="2"/>
  <c r="C57" s="1"/>
  <c r="C59" s="1"/>
  <c r="C39"/>
  <c r="C41" s="1"/>
  <c r="AB218" i="1"/>
  <c r="AB210"/>
  <c r="AB178"/>
  <c r="AB171"/>
  <c r="AB148"/>
  <c r="AB142"/>
  <c r="AB141"/>
  <c r="AB140"/>
  <c r="AB139"/>
  <c r="AB136"/>
  <c r="AB135"/>
  <c r="AB134"/>
  <c r="AB133"/>
  <c r="AB132"/>
  <c r="AB124"/>
  <c r="AB123"/>
  <c r="AB122"/>
  <c r="AB121"/>
  <c r="AB120"/>
  <c r="AB119"/>
  <c r="AB118"/>
  <c r="AB117"/>
  <c r="AB112"/>
  <c r="AB111"/>
  <c r="AB105"/>
  <c r="AB95"/>
  <c r="AB88"/>
  <c r="AB81"/>
  <c r="AB75"/>
  <c r="AB71"/>
  <c r="AB64"/>
  <c r="AB61"/>
  <c r="AB57"/>
  <c r="AB52"/>
  <c r="AB51"/>
  <c r="AB50"/>
  <c r="AB49"/>
  <c r="AB47"/>
  <c r="AB46"/>
  <c r="AB45"/>
  <c r="AB44"/>
  <c r="AB41"/>
  <c r="AB40"/>
  <c r="AB39"/>
  <c r="AB38"/>
  <c r="AB36"/>
  <c r="AB34"/>
  <c r="AB33"/>
  <c r="AB32"/>
  <c r="AB31"/>
  <c r="AB30"/>
  <c r="AB29"/>
  <c r="AB28"/>
  <c r="Z218"/>
  <c r="Z210"/>
  <c r="Z178"/>
  <c r="Z171"/>
  <c r="Z148"/>
  <c r="Z142"/>
  <c r="Z141"/>
  <c r="Z140"/>
  <c r="Z139"/>
  <c r="Z136"/>
  <c r="Z135"/>
  <c r="Z134"/>
  <c r="Z133"/>
  <c r="Z132"/>
  <c r="Z124"/>
  <c r="Z123"/>
  <c r="Z122"/>
  <c r="Z121"/>
  <c r="Z120"/>
  <c r="Z119"/>
  <c r="Z118"/>
  <c r="Z117"/>
  <c r="Z112"/>
  <c r="Z111"/>
  <c r="Z105"/>
  <c r="Z95"/>
  <c r="Z88"/>
  <c r="Z81"/>
  <c r="Z75"/>
  <c r="Z71"/>
  <c r="Z64"/>
  <c r="Z61"/>
  <c r="Z57"/>
  <c r="Z52"/>
  <c r="Z51"/>
  <c r="Z50"/>
  <c r="Z49"/>
  <c r="Z47"/>
  <c r="Z46"/>
  <c r="Z45"/>
  <c r="Z44"/>
  <c r="Z41"/>
  <c r="Z40"/>
  <c r="Z39"/>
  <c r="Z38"/>
  <c r="Z36"/>
  <c r="Z34"/>
  <c r="Z33"/>
  <c r="Z32"/>
  <c r="Z31"/>
  <c r="Z30"/>
  <c r="Z29"/>
  <c r="Z28"/>
  <c r="Y142"/>
  <c r="Y139"/>
  <c r="Y134"/>
  <c r="Y88"/>
  <c r="Y64"/>
  <c r="Y39"/>
  <c r="Y36"/>
  <c r="Y163"/>
  <c r="Y152"/>
  <c r="Y199"/>
  <c r="Y108"/>
  <c r="Y211"/>
  <c r="Y172"/>
  <c r="Y96"/>
  <c r="Y76"/>
  <c r="Y72"/>
  <c r="Y58"/>
  <c r="Y54"/>
  <c r="H28"/>
  <c r="H217"/>
  <c r="H29"/>
  <c r="H220"/>
  <c r="H231"/>
  <c r="H230"/>
  <c r="H229"/>
  <c r="H228"/>
  <c r="H227"/>
  <c r="H226"/>
  <c r="H225"/>
  <c r="H224"/>
  <c r="H223"/>
  <c r="H222"/>
  <c r="H221"/>
  <c r="H216"/>
  <c r="H215"/>
  <c r="H214"/>
  <c r="H213"/>
  <c r="H212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6"/>
  <c r="H175"/>
  <c r="H174"/>
  <c r="H173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4"/>
  <c r="H103"/>
  <c r="H102"/>
  <c r="H99"/>
  <c r="H98"/>
  <c r="H97"/>
  <c r="H94"/>
  <c r="H93"/>
  <c r="H92"/>
  <c r="H91"/>
  <c r="H90"/>
  <c r="H87"/>
  <c r="H86"/>
  <c r="H85"/>
  <c r="H84"/>
  <c r="H83"/>
  <c r="H80"/>
  <c r="H79"/>
  <c r="H78"/>
  <c r="H77"/>
  <c r="H74"/>
  <c r="H70"/>
  <c r="H69"/>
  <c r="H68"/>
  <c r="H67"/>
  <c r="H66"/>
  <c r="H63"/>
  <c r="H62" s="1"/>
  <c r="H60"/>
  <c r="H59"/>
  <c r="H56"/>
  <c r="H55"/>
  <c r="H51"/>
  <c r="H50"/>
  <c r="H49"/>
  <c r="H46"/>
  <c r="H45"/>
  <c r="H44"/>
  <c r="H40"/>
  <c r="H39"/>
  <c r="H38"/>
  <c r="H36"/>
  <c r="H33"/>
  <c r="H32"/>
  <c r="H31"/>
  <c r="H30"/>
  <c r="H37"/>
  <c r="Y173" l="1"/>
  <c r="Y183"/>
  <c r="Y66"/>
  <c r="Y103"/>
  <c r="Y144"/>
  <c r="Y222"/>
  <c r="Y226"/>
  <c r="C96" i="2"/>
  <c r="F230" i="1"/>
  <c r="Y69"/>
  <c r="Y147"/>
  <c r="Y221"/>
  <c r="Y225"/>
  <c r="Y229"/>
  <c r="Y93"/>
  <c r="Y99"/>
  <c r="Y115"/>
  <c r="Y127"/>
  <c r="Y131"/>
  <c r="Y212"/>
  <c r="Y216"/>
  <c r="Y59"/>
  <c r="Y86"/>
  <c r="Y191"/>
  <c r="Y195"/>
  <c r="Y203"/>
  <c r="Y207"/>
  <c r="Z58"/>
  <c r="Y130"/>
  <c r="Y206"/>
  <c r="Y55"/>
  <c r="Y84"/>
  <c r="Y113"/>
  <c r="Y129"/>
  <c r="Y175"/>
  <c r="Y181"/>
  <c r="Y185"/>
  <c r="Y201"/>
  <c r="Y214"/>
  <c r="C43" i="2"/>
  <c r="C29"/>
  <c r="C66"/>
  <c r="C80"/>
  <c r="C25"/>
  <c r="C11"/>
  <c r="S56" i="1"/>
  <c r="X56" s="1"/>
  <c r="Y56" s="1"/>
  <c r="S92"/>
  <c r="AA92" s="1"/>
  <c r="AA89" s="1"/>
  <c r="C45" i="2"/>
  <c r="P243" i="1"/>
  <c r="Q243" s="1"/>
  <c r="AA243" s="1"/>
  <c r="T244"/>
  <c r="Z72"/>
  <c r="V173"/>
  <c r="S73"/>
  <c r="X73" s="1"/>
  <c r="Y73" s="1"/>
  <c r="S70"/>
  <c r="X70" s="1"/>
  <c r="Y70" s="1"/>
  <c r="S97"/>
  <c r="X97" s="1"/>
  <c r="Y97" s="1"/>
  <c r="Y192"/>
  <c r="V115"/>
  <c r="F115"/>
  <c r="F195"/>
  <c r="V195"/>
  <c r="V207"/>
  <c r="F207"/>
  <c r="V226"/>
  <c r="F226"/>
  <c r="Z54"/>
  <c r="Y197"/>
  <c r="H54"/>
  <c r="AB179"/>
  <c r="AA58"/>
  <c r="V216"/>
  <c r="V183"/>
  <c r="Y187"/>
  <c r="V187"/>
  <c r="F187"/>
  <c r="V113"/>
  <c r="F113"/>
  <c r="H76"/>
  <c r="H82"/>
  <c r="H89"/>
  <c r="H149"/>
  <c r="H179"/>
  <c r="H211"/>
  <c r="H219"/>
  <c r="Z76"/>
  <c r="Z172"/>
  <c r="AB54"/>
  <c r="AB76"/>
  <c r="AB89"/>
  <c r="AB211"/>
  <c r="F98"/>
  <c r="Y94"/>
  <c r="Y128"/>
  <c r="Y213"/>
  <c r="Y223"/>
  <c r="Y227"/>
  <c r="Y68"/>
  <c r="Y91"/>
  <c r="Y98"/>
  <c r="Y126"/>
  <c r="Y146"/>
  <c r="Y224"/>
  <c r="H72"/>
  <c r="V212"/>
  <c r="F55"/>
  <c r="V55"/>
  <c r="V79"/>
  <c r="F79"/>
  <c r="F176"/>
  <c r="V176"/>
  <c r="V225"/>
  <c r="F225"/>
  <c r="F147"/>
  <c r="Y176"/>
  <c r="Y194"/>
  <c r="Y202"/>
  <c r="Y67"/>
  <c r="Y104"/>
  <c r="Y231"/>
  <c r="Z48"/>
  <c r="F199"/>
  <c r="F191"/>
  <c r="AA219"/>
  <c r="Y63"/>
  <c r="Y102"/>
  <c r="Y114"/>
  <c r="Y189"/>
  <c r="Y193"/>
  <c r="Y205"/>
  <c r="Y209"/>
  <c r="Y83"/>
  <c r="Y116"/>
  <c r="Y200"/>
  <c r="Y208"/>
  <c r="Y217"/>
  <c r="Z106"/>
  <c r="F159"/>
  <c r="F102"/>
  <c r="Y100"/>
  <c r="AA211"/>
  <c r="Y85"/>
  <c r="Y182"/>
  <c r="Y190"/>
  <c r="Y198"/>
  <c r="Y137"/>
  <c r="Y145"/>
  <c r="Z43"/>
  <c r="AB35"/>
  <c r="Z65"/>
  <c r="Z82"/>
  <c r="AB96"/>
  <c r="AB172"/>
  <c r="F138"/>
  <c r="Y138"/>
  <c r="Y220"/>
  <c r="Y228"/>
  <c r="V100"/>
  <c r="F100"/>
  <c r="F104"/>
  <c r="V104"/>
  <c r="V137"/>
  <c r="F137"/>
  <c r="V181"/>
  <c r="F181"/>
  <c r="F189"/>
  <c r="V189"/>
  <c r="V193"/>
  <c r="F193"/>
  <c r="F197"/>
  <c r="V197"/>
  <c r="V209"/>
  <c r="F209"/>
  <c r="V214"/>
  <c r="F214"/>
  <c r="V224"/>
  <c r="F224"/>
  <c r="F228"/>
  <c r="V228"/>
  <c r="F69"/>
  <c r="V69"/>
  <c r="F77"/>
  <c r="V77"/>
  <c r="F86"/>
  <c r="V86"/>
  <c r="F99"/>
  <c r="V99"/>
  <c r="V188"/>
  <c r="F188"/>
  <c r="F192"/>
  <c r="V192"/>
  <c r="V196"/>
  <c r="F196"/>
  <c r="F200"/>
  <c r="V200"/>
  <c r="F208"/>
  <c r="V208"/>
  <c r="F222"/>
  <c r="V222"/>
  <c r="F227"/>
  <c r="V227"/>
  <c r="F231"/>
  <c r="V231"/>
  <c r="V58"/>
  <c r="H35"/>
  <c r="Z27"/>
  <c r="Z26" s="1"/>
  <c r="Z219"/>
  <c r="V190"/>
  <c r="V229"/>
  <c r="AA76"/>
  <c r="AB27"/>
  <c r="AB43"/>
  <c r="AB48"/>
  <c r="Z96"/>
  <c r="Z149"/>
  <c r="Z211"/>
  <c r="AB58"/>
  <c r="AB82"/>
  <c r="AB106"/>
  <c r="AB219"/>
  <c r="V101"/>
  <c r="AA27"/>
  <c r="AA26" s="1"/>
  <c r="AA43"/>
  <c r="AA48"/>
  <c r="AA106"/>
  <c r="F103"/>
  <c r="V221"/>
  <c r="V198"/>
  <c r="V170"/>
  <c r="V220"/>
  <c r="AA179"/>
  <c r="Y215"/>
  <c r="T243"/>
  <c r="Z35"/>
  <c r="Z89"/>
  <c r="Z179"/>
  <c r="AB65"/>
  <c r="AB149"/>
  <c r="AA35"/>
  <c r="AA149"/>
  <c r="Y230"/>
  <c r="H27"/>
  <c r="H43"/>
  <c r="H48"/>
  <c r="H58"/>
  <c r="H53" s="1"/>
  <c r="H65"/>
  <c r="H96"/>
  <c r="H106"/>
  <c r="H172"/>
  <c r="AB72"/>
  <c r="F91"/>
  <c r="F93"/>
  <c r="V194"/>
  <c r="V68"/>
  <c r="Y37"/>
  <c r="Y60"/>
  <c r="Y90"/>
  <c r="Y101"/>
  <c r="Y125"/>
  <c r="Y174"/>
  <c r="Y180"/>
  <c r="Y188"/>
  <c r="Y196"/>
  <c r="Y204"/>
  <c r="Y143"/>
  <c r="F186"/>
  <c r="V186"/>
  <c r="Y186"/>
  <c r="V74"/>
  <c r="F74"/>
  <c r="Y74"/>
  <c r="AA82"/>
  <c r="T87"/>
  <c r="U87" s="1"/>
  <c r="F87" s="1"/>
  <c r="X87"/>
  <c r="Y87" s="1"/>
  <c r="AA73"/>
  <c r="AA56"/>
  <c r="AA54" s="1"/>
  <c r="V94"/>
  <c r="F94"/>
  <c r="V153"/>
  <c r="F153"/>
  <c r="V180"/>
  <c r="F180"/>
  <c r="F184"/>
  <c r="V184"/>
  <c r="F213"/>
  <c r="V213"/>
  <c r="V217"/>
  <c r="F217"/>
  <c r="V66"/>
  <c r="F66"/>
  <c r="V114"/>
  <c r="F114"/>
  <c r="V146"/>
  <c r="F146"/>
  <c r="V163"/>
  <c r="F163"/>
  <c r="V182"/>
  <c r="F182"/>
  <c r="F215"/>
  <c r="V215"/>
  <c r="V27"/>
  <c r="V43"/>
  <c r="V48"/>
  <c r="AB26"/>
  <c r="F78"/>
  <c r="V78"/>
  <c r="F37"/>
  <c r="V37"/>
  <c r="V35" s="1"/>
  <c r="V80"/>
  <c r="F80"/>
  <c r="AA245"/>
  <c r="T70" l="1"/>
  <c r="U70" s="1"/>
  <c r="AB53"/>
  <c r="Z53"/>
  <c r="Z42"/>
  <c r="X92"/>
  <c r="Y92" s="1"/>
  <c r="AA97"/>
  <c r="AA96" s="1"/>
  <c r="AC96" s="1"/>
  <c r="V42"/>
  <c r="T92"/>
  <c r="U92" s="1"/>
  <c r="V92" s="1"/>
  <c r="V89" s="1"/>
  <c r="T73"/>
  <c r="U73" s="1"/>
  <c r="V73" s="1"/>
  <c r="V72" s="1"/>
  <c r="T97"/>
  <c r="U97" s="1"/>
  <c r="V97" s="1"/>
  <c r="V96" s="1"/>
  <c r="AA70"/>
  <c r="AA65" s="1"/>
  <c r="T56"/>
  <c r="U56" s="1"/>
  <c r="F56" s="1"/>
  <c r="S177"/>
  <c r="T177" s="1"/>
  <c r="U177" s="1"/>
  <c r="AA53"/>
  <c r="V219"/>
  <c r="V76"/>
  <c r="AC42"/>
  <c r="AB42"/>
  <c r="AB233" s="1"/>
  <c r="V149"/>
  <c r="Z233"/>
  <c r="V106"/>
  <c r="V211"/>
  <c r="H42"/>
  <c r="H233" s="1"/>
  <c r="AA42"/>
  <c r="X177"/>
  <c r="Y177" s="1"/>
  <c r="AA177"/>
  <c r="AA172" s="1"/>
  <c r="V87"/>
  <c r="V82" s="1"/>
  <c r="F73"/>
  <c r="AC73"/>
  <c r="AA72"/>
  <c r="V70"/>
  <c r="V65" s="1"/>
  <c r="F70"/>
  <c r="V179"/>
  <c r="F92" l="1"/>
  <c r="F97"/>
  <c r="V56"/>
  <c r="V54" s="1"/>
  <c r="V53" s="1"/>
  <c r="AA233"/>
  <c r="AA8" s="1"/>
  <c r="W233"/>
  <c r="Y233"/>
  <c r="F177"/>
  <c r="V177"/>
  <c r="V172" s="1"/>
  <c r="V233" s="1"/>
  <c r="AA22" l="1"/>
  <c r="B7" i="4"/>
  <c r="B9" s="1"/>
  <c r="B15" s="1"/>
  <c r="X233" i="1"/>
  <c r="B8" i="4"/>
  <c r="B10" s="1"/>
  <c r="B11" l="1"/>
  <c r="B16" s="1"/>
  <c r="K22" i="10" l="1"/>
  <c r="I47" l="1"/>
  <c r="M47"/>
  <c r="M248"/>
  <c r="M247" s="1"/>
  <c r="M59" l="1"/>
  <c r="I102"/>
  <c r="M56"/>
  <c r="M60"/>
  <c r="M57" l="1"/>
  <c r="M53" l="1"/>
  <c r="I55"/>
  <c r="M55" s="1"/>
  <c r="M54" l="1"/>
  <c r="M51" l="1"/>
  <c r="I40"/>
  <c r="I43" l="1"/>
  <c r="I31" l="1"/>
  <c r="I39"/>
  <c r="M43"/>
  <c r="M42" s="1"/>
  <c r="I46" l="1"/>
  <c r="M46"/>
  <c r="I45" l="1"/>
  <c r="M45" l="1"/>
  <c r="M44" l="1"/>
  <c r="M26" s="1"/>
  <c r="M268" s="1"/>
</calcChain>
</file>

<file path=xl/sharedStrings.xml><?xml version="1.0" encoding="utf-8"?>
<sst xmlns="http://schemas.openxmlformats.org/spreadsheetml/2006/main" count="2597" uniqueCount="976">
  <si>
    <t>Item</t>
  </si>
  <si>
    <t>Discriminação dos serviços do Orçamento</t>
  </si>
  <si>
    <t>Unid</t>
  </si>
  <si>
    <t>Qtdes</t>
  </si>
  <si>
    <t>Preço Total</t>
  </si>
  <si>
    <t>SERVIÇOS PRELIMINARES</t>
  </si>
  <si>
    <t>1.1</t>
  </si>
  <si>
    <t>Abrigo provisório c/ pavimento para alojamento e depósito</t>
  </si>
  <si>
    <t>m²</t>
  </si>
  <si>
    <t>1.2</t>
  </si>
  <si>
    <t>Placa da obra - padrão governo federal</t>
  </si>
  <si>
    <t>1.3</t>
  </si>
  <si>
    <t>Locação da obra - execução de gabarito</t>
  </si>
  <si>
    <t>1.4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</si>
  <si>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</si>
  <si>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</si>
  <si>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</si>
  <si>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</si>
  <si>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</si>
  <si>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</si>
  <si>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</si>
  <si>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</si>
  <si>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</si>
  <si>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</si>
  <si>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</si>
  <si>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</si>
  <si>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</si>
  <si>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</si>
  <si>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</si>
  <si>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</si>
  <si>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</si>
  <si>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</si>
  <si>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INFRAESTRUTURA</t>
  </si>
  <si>
    <t>3.1</t>
  </si>
  <si>
    <t>SAPATAS</t>
  </si>
  <si>
    <t>3.1.1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</si>
  <si>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</si>
  <si>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</si>
  <si>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</si>
  <si>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</si>
  <si>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</si>
  <si>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</si>
  <si>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</si>
  <si>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</si>
  <si>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</si>
  <si>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</si>
  <si>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Impermeabilização com tinta betuminosa em fundações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</si>
  <si>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</si>
  <si>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</si>
  <si>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</si>
  <si>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</si>
  <si>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</si>
  <si>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</si>
  <si>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</si>
  <si>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</si>
  <si>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</si>
  <si>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</si>
  <si>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</si>
  <si>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</si>
  <si>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</si>
  <si>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PAREDES E PAINÉIS</t>
  </si>
  <si>
    <t>5.1</t>
  </si>
  <si>
    <t>Alvenaria de tijolo cerâmico (9x19x24)cm, e= 0,09m, com argamassa (traço 1:2:8 - cimento/cal/areia), junta de 2,0cm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</si>
  <si>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</si>
  <si>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</si>
  <si>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</si>
  <si>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</si>
  <si>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</si>
  <si>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5.5</t>
  </si>
  <si>
    <t>Elemento vazado de concreto (50x50x10cm) anti-chuva assentados com argamassa (imento e areia traço 1:3)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</si>
  <si>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</si>
  <si>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</si>
  <si>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</si>
  <si>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</si>
  <si>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</si>
  <si>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</si>
  <si>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</si>
  <si>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</si>
  <si>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</si>
  <si>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</si>
  <si>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</si>
  <si>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</si>
  <si>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 xml:space="preserve">Porta de madeira - Banheiros e Sanitários (0,60 m) completa inclusive targeta metálica </t>
  </si>
  <si>
    <t>7.4</t>
  </si>
  <si>
    <t xml:space="preserve">Porta de madeira - Banheiros e Sanitários (0,80 m)  completa inclusive targeta metálica - WC PNE </t>
  </si>
  <si>
    <t>REVESTIMENTOS</t>
  </si>
  <si>
    <t>8.1</t>
  </si>
  <si>
    <t>Chapisco c/ argamassa de cimento e areia s/ peneirar traço 1:3 esp.= 5mm p/ parede</t>
  </si>
  <si>
    <t>8.2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</si>
  <si>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</si>
  <si>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</si>
  <si>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</si>
  <si>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</si>
  <si>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Revestimento cerâmico de paredes PEI IV - cerâmica 20 x 20 cm - incl. rejunte - conforme projeto</t>
  </si>
  <si>
    <t>8.5</t>
  </si>
  <si>
    <t>Revestimento cerâmico de paredes PEI IV - cerâmica 10 x 10 cm - incl. rejunte - conforme projeto</t>
  </si>
  <si>
    <t>PISOS</t>
  </si>
  <si>
    <t>9.1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</si>
  <si>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</si>
  <si>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</si>
  <si>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</si>
  <si>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</si>
  <si>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</si>
  <si>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</si>
  <si>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</si>
  <si>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</si>
  <si>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</si>
  <si>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 xml:space="preserve">Piso cerâmico esmaltado PEI V - 33 x 33 cm - incl. rejunte - conforme projeto 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</si>
  <si>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</si>
  <si>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</si>
  <si>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</si>
  <si>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</si>
  <si>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</si>
  <si>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</si>
  <si>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</si>
  <si>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</si>
  <si>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</si>
  <si>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</si>
  <si>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</si>
  <si>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</si>
  <si>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</si>
  <si>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</si>
  <si>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</si>
  <si>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</si>
  <si>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</si>
  <si>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</si>
  <si>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</si>
  <si>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</si>
  <si>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</si>
  <si>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</si>
  <si>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</si>
  <si>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</si>
  <si>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</si>
  <si>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</si>
  <si>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</si>
  <si>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</si>
  <si>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</si>
  <si>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</si>
  <si>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</si>
  <si>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</si>
  <si>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</si>
  <si>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</si>
  <si>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</si>
  <si>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</si>
  <si>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</si>
  <si>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</si>
  <si>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</si>
  <si>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</si>
  <si>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</si>
  <si>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</si>
  <si>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</si>
  <si>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</si>
  <si>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</si>
  <si>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</si>
  <si>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</si>
  <si>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</si>
  <si>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</si>
  <si>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</si>
  <si>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</si>
  <si>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</si>
  <si>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</si>
  <si>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</si>
  <si>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</si>
  <si>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</si>
  <si>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</si>
  <si>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</si>
  <si>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</si>
  <si>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</si>
  <si>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</si>
  <si>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</si>
  <si>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</si>
  <si>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</si>
  <si>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</si>
  <si>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</si>
  <si>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</si>
  <si>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</si>
  <si>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</si>
  <si>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</si>
  <si>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</si>
  <si>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</si>
  <si>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</si>
  <si>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</si>
  <si>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</si>
  <si>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</si>
  <si>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</si>
  <si>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</si>
  <si>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</si>
  <si>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Torneira cromada para lavatório 1/2"</t>
  </si>
  <si>
    <t>11.32</t>
  </si>
  <si>
    <t>Torneira de bóia p/caixa d'agua em pvc d = 3/4"</t>
  </si>
  <si>
    <t>11.33</t>
  </si>
  <si>
    <t>Tubo PVC rígido soldável - 20 mm</t>
  </si>
  <si>
    <t>11.34</t>
  </si>
  <si>
    <t>Tubo PVC rígido soldável - 25 mm</t>
  </si>
  <si>
    <t>11.35</t>
  </si>
  <si>
    <t>Tubo PVC rígido soldável - 32 mm</t>
  </si>
  <si>
    <t>11.36</t>
  </si>
  <si>
    <t>Tubo PVC rígido soldável - 40 mm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</si>
  <si>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</si>
  <si>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</si>
  <si>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</si>
  <si>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</si>
  <si>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</si>
  <si>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</si>
  <si>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</si>
  <si>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</si>
  <si>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</si>
  <si>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</si>
  <si>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</si>
  <si>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</si>
  <si>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</si>
  <si>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</si>
  <si>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</si>
  <si>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</si>
  <si>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</si>
  <si>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</si>
  <si>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</si>
  <si>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</si>
  <si>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</si>
  <si>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</si>
  <si>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</si>
  <si>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</si>
  <si>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</si>
  <si>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</si>
  <si>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</si>
  <si>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</si>
  <si>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</si>
  <si>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</si>
  <si>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</si>
  <si>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</si>
  <si>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</si>
  <si>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</si>
  <si>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</si>
  <si>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</si>
  <si>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</si>
  <si>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</si>
  <si>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</si>
  <si>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</si>
  <si>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</si>
  <si>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</si>
  <si>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</si>
  <si>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</si>
  <si>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</si>
  <si>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</si>
  <si>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</si>
  <si>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</si>
  <si>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</si>
  <si>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</si>
  <si>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</si>
  <si>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</si>
  <si>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</si>
  <si>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</si>
  <si>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</si>
  <si>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</si>
  <si>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</si>
  <si>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</si>
  <si>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</si>
  <si>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</si>
  <si>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</si>
  <si>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</si>
  <si>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</si>
  <si>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</si>
  <si>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INSTALAÇÕES ELÉTRICAS 220/380</t>
  </si>
  <si>
    <t>14.1</t>
  </si>
  <si>
    <t>Condulete em alumínio tipo T de 3/4", inclusive acessórios</t>
  </si>
  <si>
    <t>14.2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</si>
  <si>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</si>
  <si>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</si>
  <si>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</si>
  <si>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</si>
  <si>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</si>
  <si>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</si>
  <si>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</si>
  <si>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</si>
  <si>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</si>
  <si>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</si>
  <si>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</si>
  <si>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</si>
  <si>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</si>
  <si>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</si>
  <si>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</si>
  <si>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</si>
  <si>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</si>
  <si>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</si>
  <si>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</si>
  <si>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</si>
  <si>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</si>
  <si>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</si>
  <si>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</si>
  <si>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</si>
  <si>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Disjuntor termomagnetico monopolar 10 A, padrão DIN (linha branca)</t>
  </si>
  <si>
    <t>14.15</t>
  </si>
  <si>
    <t>Disjuntor termomagnetico binopolar 20 A, padrão DIN (linha branca)</t>
  </si>
  <si>
    <t>14.16</t>
  </si>
  <si>
    <t>Disjuntor termomagnetico binopolar 25 A, padrão DIN (linha branca)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</si>
  <si>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</si>
  <si>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</si>
  <si>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</si>
  <si>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</si>
  <si>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</si>
  <si>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</si>
  <si>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</si>
  <si>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</si>
  <si>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</si>
  <si>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</si>
  <si>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</si>
  <si>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</si>
  <si>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</si>
  <si>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</si>
  <si>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</si>
  <si>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</si>
  <si>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</si>
  <si>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</si>
  <si>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</si>
  <si>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</si>
  <si>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</si>
  <si>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</si>
  <si>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</si>
  <si>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</si>
  <si>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14.29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</si>
  <si>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</si>
  <si>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</si>
  <si>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</si>
  <si>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</si>
  <si>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</si>
  <si>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</si>
  <si>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</si>
  <si>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</si>
  <si>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</si>
  <si>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</si>
  <si>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</si>
  <si>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</si>
  <si>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</si>
  <si>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</si>
  <si>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</si>
  <si>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</si>
  <si>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</si>
  <si>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</si>
  <si>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</si>
  <si>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</si>
  <si>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</si>
  <si>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</si>
  <si>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</si>
  <si>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16.4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</si>
  <si>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</si>
  <si>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</si>
  <si>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</si>
  <si>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</si>
  <si>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</si>
  <si>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</si>
  <si>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</si>
  <si>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</si>
  <si>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</si>
  <si>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</si>
  <si>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</si>
  <si>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</si>
  <si>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</si>
  <si>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</si>
  <si>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</si>
  <si>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</si>
  <si>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</si>
  <si>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</si>
  <si>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</si>
  <si>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PREFEITURA MUNICIPAL DE ITAPOROROCA</t>
  </si>
  <si>
    <t>QUANT.</t>
  </si>
  <si>
    <t>CONTRATADA: J FORTES ENGENHARIA</t>
  </si>
  <si>
    <t>OBRA: CONCLUSÃO DAS OBRAS DE UMA QUADRA COBERTA COM VESTUÁRIO, COM RECURSOS DO PAC 2 - FNDE</t>
  </si>
  <si>
    <t>ITEM</t>
  </si>
  <si>
    <t>DESCRIÇÃO</t>
  </si>
  <si>
    <t>UNID</t>
  </si>
  <si>
    <t>Contratante</t>
  </si>
  <si>
    <t>BM - número</t>
  </si>
  <si>
    <t>BM - Data emissão</t>
  </si>
  <si>
    <t xml:space="preserve">BM - Período de referência </t>
  </si>
  <si>
    <t>Data do CT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</si>
  <si>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</si>
  <si>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</si>
  <si>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</si>
  <si>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</si>
  <si>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</si>
  <si>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 xml:space="preserve">Objeto </t>
  </si>
  <si>
    <t>Local da obra ( Bairro / Município / UF)</t>
  </si>
  <si>
    <t>Valor do Contrato (R$)</t>
  </si>
  <si>
    <t>RUA FREI DAMIÃO BOZZANO, 07 - CENTRO - ITAPOROROCA - PB.</t>
  </si>
  <si>
    <t>Preço Unitário</t>
  </si>
  <si>
    <t>Medido no período</t>
  </si>
  <si>
    <t>Acumulado inclusive o período</t>
  </si>
  <si>
    <t>Previsto no Orçamento</t>
  </si>
  <si>
    <t>Acumulado até o período anterior</t>
  </si>
  <si>
    <t>Acum inclusive
o período</t>
  </si>
  <si>
    <t>Executado Financeiro (R$)</t>
  </si>
  <si>
    <t>Executado Físico (%)</t>
  </si>
  <si>
    <t>Acum até o
período anterior</t>
  </si>
  <si>
    <t>9731/2014 PAC 2</t>
  </si>
  <si>
    <t>Valor Medido no Período</t>
  </si>
  <si>
    <t>18.228.092/0001-27</t>
  </si>
  <si>
    <t>BOLETIM DE MEDIÇÃO</t>
  </si>
  <si>
    <t>CONCLUSÃO DAS OBRAS DE UMA QUADRA COBERTA COM VESTUÁRIO, COM RECURSOS DO PAC 2 - FNDE.</t>
  </si>
  <si>
    <t>CLARICE MARIA LIMA FORTES</t>
  </si>
  <si>
    <t>M2</t>
  </si>
  <si>
    <t>Quantidade Medida no período 1</t>
  </si>
  <si>
    <t>Quantidade Medida no período 2</t>
  </si>
  <si>
    <t>Quantidade Medida no período 3</t>
  </si>
  <si>
    <t>Quantidade Medida no período 4</t>
  </si>
  <si>
    <t>1ª Medição</t>
  </si>
  <si>
    <t>2ª Medição</t>
  </si>
  <si>
    <t>3ª Medição</t>
  </si>
  <si>
    <t>4ª Medição</t>
  </si>
  <si>
    <t>RESUMO MEDIÇÃO</t>
  </si>
  <si>
    <t>VALOR MEDIÇÃO</t>
  </si>
  <si>
    <t>STATUS</t>
  </si>
  <si>
    <t>PAGA</t>
  </si>
  <si>
    <t>TOTAL PAGO</t>
  </si>
  <si>
    <t>A PAGAR</t>
  </si>
  <si>
    <t>TOTAL GERAL</t>
  </si>
  <si>
    <t>VALOR DO CONTRATO</t>
  </si>
  <si>
    <t>Quantidade Medida no período 5</t>
  </si>
  <si>
    <t>M²</t>
  </si>
  <si>
    <t xml:space="preserve"> Arcos</t>
  </si>
  <si>
    <t>Arcos</t>
  </si>
  <si>
    <t>Total de arcos a serem executados</t>
  </si>
  <si>
    <t>Estrutura de aço em arco vão de 30m Total a ser executada</t>
  </si>
  <si>
    <t>Quantidade de arcos executados até o momento</t>
  </si>
  <si>
    <t>Quantidade equivalente em m² - 2,00 arcos</t>
  </si>
  <si>
    <t>Equivalente em percentual executado</t>
  </si>
  <si>
    <t>Equivalente executado (m²)</t>
  </si>
  <si>
    <t>5ª Medição</t>
  </si>
  <si>
    <t>SALDO A MEDIR A PARTIR DA 5ª MEDIÇÃO</t>
  </si>
  <si>
    <t>(1.140,00m² X 2 arcos ) / 7 arcos</t>
  </si>
  <si>
    <t>1.114,00m² de construção - 7,0 unid de arcos</t>
  </si>
  <si>
    <t>Quantidade Medida no período 6</t>
  </si>
  <si>
    <t>SALDO A MEDIR A PARTIR DA 6ª MEDIÇÃO</t>
  </si>
  <si>
    <t>6ª Medição</t>
  </si>
  <si>
    <t>Quantidade Medida no período 7</t>
  </si>
  <si>
    <t>Quantidade Medida no período 8</t>
  </si>
  <si>
    <t>Quantidade Medida no período 9</t>
  </si>
  <si>
    <t>20/12/2017 a 31/01/2018</t>
  </si>
  <si>
    <t>9ª MEDIÇÃO - MEMÓRIA DE CALCULO</t>
  </si>
  <si>
    <t>SINAPI 04/16</t>
  </si>
  <si>
    <t>Fonte</t>
  </si>
  <si>
    <t>74209/001</t>
  </si>
  <si>
    <t>74077/003</t>
  </si>
  <si>
    <t>C2849</t>
  </si>
  <si>
    <t>73960/001</t>
  </si>
  <si>
    <t>C2851</t>
  </si>
  <si>
    <t>73965/010</t>
  </si>
  <si>
    <t>COMPOSIÇÃO</t>
  </si>
  <si>
    <t>73964/006</t>
  </si>
  <si>
    <t>C2530</t>
  </si>
  <si>
    <t>73907/006</t>
  </si>
  <si>
    <t>11262/ORSE</t>
  </si>
  <si>
    <t>07396/ORSE</t>
  </si>
  <si>
    <t>74106/001</t>
  </si>
  <si>
    <t>01074/ORSE</t>
  </si>
  <si>
    <t>01081/ORSE</t>
  </si>
  <si>
    <t>04964/ORSE</t>
  </si>
  <si>
    <t>01114/ORSE</t>
  </si>
  <si>
    <t>04965/ORSE</t>
  </si>
  <si>
    <t>01160/ORSE</t>
  </si>
  <si>
    <t>01170/ORSE</t>
  </si>
  <si>
    <t>01171/ORSE</t>
  </si>
  <si>
    <t>01177/ORSE</t>
  </si>
  <si>
    <t>01182/ORSE</t>
  </si>
  <si>
    <t>01027/ORSE</t>
  </si>
  <si>
    <t>01028/ORSE</t>
  </si>
  <si>
    <t>01029/ORSE</t>
  </si>
  <si>
    <t>01030/ORSE</t>
  </si>
  <si>
    <t>custo inicial</t>
  </si>
  <si>
    <t>11644/ORSE</t>
  </si>
  <si>
    <t>95956/SINAPI</t>
  </si>
  <si>
    <t>742021/SINAPI</t>
  </si>
  <si>
    <t>00152/ORSE</t>
  </si>
  <si>
    <t>00154/ORSE</t>
  </si>
  <si>
    <t>Elemento vazado de concreto (40x40x7cm) assentados com argamassa (cimento e areia traço 1:3)</t>
  </si>
  <si>
    <t>739373/SINAPI</t>
  </si>
  <si>
    <t>739371/SINAPI</t>
  </si>
  <si>
    <t>90844/SINAPI</t>
  </si>
  <si>
    <t>91328/SINAP</t>
  </si>
  <si>
    <t>91332/SINAPi</t>
  </si>
  <si>
    <t>91333/SINAP</t>
  </si>
  <si>
    <t>87893/SINAPI</t>
  </si>
  <si>
    <t>89173/SINAPI</t>
  </si>
  <si>
    <t>03315/ORSE</t>
  </si>
  <si>
    <t>11366/ORSE</t>
  </si>
  <si>
    <t>89045/SINAPI</t>
  </si>
  <si>
    <t>09962/ORSE</t>
  </si>
  <si>
    <t>07681/ORSE</t>
  </si>
  <si>
    <t>10169/ORSE</t>
  </si>
  <si>
    <t>88483/SINAPI</t>
  </si>
  <si>
    <t>41595/SINAPI</t>
  </si>
  <si>
    <t>08624/ORSE</t>
  </si>
  <si>
    <t>07695/ORSE</t>
  </si>
  <si>
    <t>02339/ORSE</t>
  </si>
  <si>
    <t>72815/SINAPI</t>
  </si>
  <si>
    <t>quant. Acumulada</t>
  </si>
  <si>
    <t>02291/ORSE</t>
  </si>
  <si>
    <t>01430/ORSE</t>
  </si>
  <si>
    <t>86884/SINAPI</t>
  </si>
  <si>
    <t>09963/ORSE</t>
  </si>
  <si>
    <t>86915/SINAPI</t>
  </si>
  <si>
    <t>04281/ORSE</t>
  </si>
  <si>
    <t>02060/ORSE</t>
  </si>
  <si>
    <t>04282/ORSE</t>
  </si>
  <si>
    <t>86882/SINAPI</t>
  </si>
  <si>
    <t>09965/ORSE</t>
  </si>
  <si>
    <t>07752/ORSE</t>
  </si>
  <si>
    <t>04421/ORSE</t>
  </si>
  <si>
    <t>95795/SINAPI</t>
  </si>
  <si>
    <t>95808/SINAPI</t>
  </si>
  <si>
    <t>09933/ORSE</t>
  </si>
  <si>
    <t>00784/ORSE</t>
  </si>
  <si>
    <t>11186/ORSE</t>
  </si>
  <si>
    <t>11187/ORSE</t>
  </si>
  <si>
    <t>03801/ORSE</t>
  </si>
  <si>
    <t>09968/ORSE</t>
  </si>
  <si>
    <t>00780/ORSE</t>
  </si>
  <si>
    <t>00478/ORSE</t>
  </si>
  <si>
    <t>92025/SINAPI</t>
  </si>
  <si>
    <t>93653/SINAPI</t>
  </si>
  <si>
    <t>93662/SINAPI</t>
  </si>
  <si>
    <t>93663/SINAPI</t>
  </si>
  <si>
    <t>SINAPI/39464</t>
  </si>
  <si>
    <t>03954/ORSE</t>
  </si>
  <si>
    <t>00570/ORSE</t>
  </si>
  <si>
    <t>12034/ORSE</t>
  </si>
  <si>
    <t>10759/ORSE</t>
  </si>
  <si>
    <t>02410/ORSE</t>
  </si>
  <si>
    <t>08492/ORSE</t>
  </si>
  <si>
    <t>01889/ORSE</t>
  </si>
  <si>
    <t>BDI</t>
  </si>
  <si>
    <t>Saldo de Quantidades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</si>
  <si>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</si>
  <si>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</si>
  <si>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</si>
  <si>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</si>
  <si>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Quant. saldo</t>
  </si>
  <si>
    <t>Total (R$)</t>
  </si>
  <si>
    <t>Quantidade Medida no período 10</t>
  </si>
  <si>
    <t>14.0</t>
  </si>
  <si>
    <t>JOSE DIONISIO DA SILVA FILHO EIRELI</t>
  </si>
  <si>
    <t>33.375.398/0001-08</t>
  </si>
  <si>
    <t>1.0</t>
  </si>
  <si>
    <t>m3</t>
  </si>
  <si>
    <t>2.0</t>
  </si>
  <si>
    <t>3.0</t>
  </si>
  <si>
    <t>4.0</t>
  </si>
  <si>
    <t>6.0</t>
  </si>
  <si>
    <t>PAVIMENTAÇÃO</t>
  </si>
  <si>
    <t>6.3</t>
  </si>
  <si>
    <t>7.0</t>
  </si>
  <si>
    <t>8.0</t>
  </si>
  <si>
    <t>9.0</t>
  </si>
  <si>
    <t>ESTADO DA PARAÍBA</t>
  </si>
  <si>
    <t>MEMÓRIA DE CÁLCULO</t>
  </si>
  <si>
    <t>DESCRIÇÃO DOS SERVIÇOS</t>
  </si>
  <si>
    <t>UN.</t>
  </si>
  <si>
    <t>PREFEITURA MUNICIPAL DE BAYEUX</t>
  </si>
  <si>
    <t>CONSTRUÇÃO DE UBS – UNIDADE BÁSICA DE SAÚDE, PORTE II, NO BAIRRO COMERCIAL NORTE EM BAYEUX/PB</t>
  </si>
  <si>
    <t>018/2020 - FMS - PMBEX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</si>
  <si>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</si>
  <si>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</si>
  <si>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</si>
  <si>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>Escavação manual de valas com profundidade menor ou igual a 1,30m. AF_03/2016</t>
  </si>
  <si>
    <t>INFRA ESTRUTURA: FUNDAÇÕES</t>
  </si>
  <si>
    <t>Sapatas Isoladas/Arranque dos Pilares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</si>
  <si>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</si>
  <si>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</si>
  <si>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</si>
  <si>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</si>
  <si>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</si>
  <si>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kg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</si>
  <si>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</si>
  <si>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</si>
  <si>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</si>
  <si>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</si>
  <si>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</si>
  <si>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</si>
  <si>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</si>
  <si>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</si>
  <si>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Lançamento com uso de baldes, adensamento e acabamento de concreto em estruturas. AF_12/2015</t>
  </si>
  <si>
    <t>3.1.14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</si>
  <si>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</si>
  <si>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</si>
  <si>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</si>
  <si>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</si>
  <si>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</si>
  <si>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</si>
  <si>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</si>
  <si>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</si>
  <si>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</si>
  <si>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3.3.4</t>
  </si>
  <si>
    <t>Concreto Fck = 30Mpa, traço 1:2,1:2,5 (cimento/areia média/brita 1) - preparo mecânico com betoneira 400 L. AF_07/2016</t>
  </si>
  <si>
    <t>3.3.5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</si>
  <si>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</si>
  <si>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</si>
  <si>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</si>
  <si>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</si>
  <si>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</si>
  <si>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</si>
  <si>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</si>
  <si>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</si>
  <si>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</si>
  <si>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</si>
  <si>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</si>
  <si>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</si>
  <si>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</si>
  <si>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</si>
  <si>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</si>
  <si>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</si>
  <si>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</si>
  <si>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</si>
  <si>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</si>
  <si>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</si>
  <si>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</si>
  <si>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</si>
  <si>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</si>
  <si>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</si>
  <si>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</si>
  <si>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</si>
  <si>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</si>
  <si>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</si>
  <si>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</si>
  <si>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</si>
  <si>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</si>
  <si>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</si>
  <si>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</si>
  <si>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</si>
  <si>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</si>
  <si>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</si>
  <si>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</si>
  <si>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</si>
  <si>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</si>
  <si>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</si>
  <si>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</si>
  <si>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</si>
  <si>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</si>
  <si>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</si>
  <si>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</si>
  <si>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</si>
  <si>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</si>
  <si>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</si>
  <si>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</si>
  <si>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</si>
  <si>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</si>
  <si>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</si>
  <si>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</si>
  <si>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</si>
  <si>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</si>
  <si>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</si>
  <si>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</si>
  <si>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</si>
  <si>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</si>
  <si>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</si>
  <si>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</si>
  <si>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</si>
  <si>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</si>
  <si>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</si>
  <si>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</si>
  <si>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</si>
  <si>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</si>
  <si>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Forro do Teto</t>
  </si>
  <si>
    <t>6.3.1</t>
  </si>
  <si>
    <t>Forro em placas de gesso, para ambientes comerciais. AF_05/2017_P</t>
  </si>
  <si>
    <t>IMPERMEABILIZAÇÕES</t>
  </si>
  <si>
    <t>Impermeabilização de superfície com manta asfáltica, uma camada, inclusive aplicação de primer asfáltico, E=3mm. AF_06/2018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</si>
  <si>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</si>
  <si>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</si>
  <si>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</si>
  <si>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</si>
  <si>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</si>
  <si>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</si>
  <si>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</si>
  <si>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</si>
  <si>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</si>
  <si>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</si>
  <si>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</si>
  <si>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</si>
  <si>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</si>
  <si>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</si>
  <si>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</si>
  <si>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</si>
  <si>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</si>
  <si>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</si>
  <si>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</si>
  <si>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</si>
  <si>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</si>
  <si>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</si>
  <si>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</si>
  <si>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</si>
  <si>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</si>
  <si>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</si>
  <si>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</si>
  <si>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</si>
  <si>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</si>
  <si>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</si>
  <si>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</si>
  <si>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</si>
  <si>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</si>
  <si>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</si>
  <si>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</si>
  <si>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</si>
  <si>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</si>
  <si>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</si>
  <si>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</si>
  <si>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</si>
  <si>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</si>
  <si>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</si>
  <si>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</si>
  <si>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</si>
  <si>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</si>
  <si>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</si>
  <si>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</si>
  <si>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</si>
  <si>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</si>
  <si>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</si>
  <si>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</si>
  <si>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</si>
  <si>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</si>
  <si>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</si>
  <si>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</si>
  <si>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</si>
  <si>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</si>
  <si>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</si>
  <si>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</si>
  <si>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</si>
  <si>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</si>
  <si>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</si>
  <si>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</si>
  <si>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</si>
  <si>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</si>
  <si>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</si>
  <si>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</si>
  <si>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</si>
  <si>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</si>
  <si>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</si>
  <si>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</si>
  <si>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</si>
  <si>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</si>
  <si>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</si>
  <si>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</si>
  <si>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</si>
  <si>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</si>
  <si>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</si>
  <si>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</si>
  <si>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</si>
  <si>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</si>
  <si>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</si>
  <si>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</si>
  <si>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</si>
  <si>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</si>
  <si>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</si>
  <si>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</si>
  <si>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</si>
  <si>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</si>
  <si>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</si>
  <si>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</si>
  <si>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</si>
  <si>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</si>
  <si>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</si>
  <si>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</si>
  <si>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</si>
  <si>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</si>
  <si>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</si>
  <si>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</si>
  <si>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</si>
  <si>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</si>
  <si>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</si>
  <si>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</si>
  <si>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</si>
  <si>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</si>
  <si>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</si>
  <si>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</si>
  <si>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</si>
  <si>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</si>
  <si>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</si>
  <si>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</si>
  <si>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</si>
  <si>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</si>
  <si>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</si>
  <si>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</si>
  <si>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</si>
  <si>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</si>
  <si>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</si>
  <si>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</si>
  <si>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</si>
  <si>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</si>
  <si>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</si>
  <si>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</si>
  <si>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</si>
  <si>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</si>
  <si>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</si>
  <si>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</si>
  <si>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</si>
  <si>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</si>
  <si>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</si>
  <si>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</si>
  <si>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</si>
  <si>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</si>
  <si>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</si>
  <si>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</si>
  <si>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</si>
  <si>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</si>
  <si>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</si>
  <si>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</si>
  <si>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</si>
  <si>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fornecimento e instalação. AF_12/2013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</si>
  <si>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</si>
  <si>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</si>
  <si>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</si>
  <si>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</si>
  <si>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</si>
  <si>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</si>
  <si>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</si>
  <si>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</si>
  <si>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</si>
  <si>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</si>
  <si>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</si>
  <si>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</si>
  <si>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</si>
  <si>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</si>
  <si>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</si>
  <si>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</si>
  <si>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</si>
  <si>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</si>
  <si>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</si>
  <si>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</si>
  <si>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</si>
  <si>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</si>
  <si>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</si>
  <si>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</si>
  <si>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</si>
  <si>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</si>
  <si>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</si>
  <si>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</si>
  <si>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</si>
  <si>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</si>
  <si>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</si>
  <si>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</si>
  <si>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</si>
  <si>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</si>
  <si>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</si>
  <si>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</si>
  <si>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</si>
  <si>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</si>
  <si>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</si>
  <si>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</si>
  <si>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</si>
  <si>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</si>
  <si>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</si>
  <si>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</si>
  <si>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</si>
  <si>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</si>
  <si>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</si>
  <si>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</si>
  <si>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</si>
  <si>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</si>
  <si>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</si>
  <si>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</si>
  <si>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</si>
  <si>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</si>
  <si>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</si>
  <si>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</si>
  <si>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</si>
  <si>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</si>
  <si>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</si>
  <si>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</si>
  <si>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</si>
  <si>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</si>
  <si>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</si>
  <si>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</si>
  <si>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</si>
  <si>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</si>
  <si>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</si>
  <si>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</si>
  <si>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</si>
  <si>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</si>
  <si>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</si>
  <si>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</si>
  <si>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</si>
  <si>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</si>
  <si>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</si>
  <si>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</si>
  <si>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</si>
  <si>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</si>
  <si>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</si>
  <si>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</si>
  <si>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</si>
  <si>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</si>
  <si>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</si>
  <si>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</si>
  <si>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</si>
  <si>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</si>
  <si>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</si>
  <si>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</si>
  <si>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</si>
  <si>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</si>
  <si>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Armação de pilar ou viga de uma estrutura convencional de concreto armado em um edificio de multiplos pavimentos utilizando aço CA-50 de 6.3 mm - montagem. AF_12/2015</t>
  </si>
  <si>
    <t>RUA PROJETADA SN, BAIRRO COMERCIAL NORTE - BAYEUX - PB</t>
  </si>
  <si>
    <t>OBRA: CONSTRUÇÃO DE UBS – UNIDADE BÁSICA DE SAÚDE, PORTE II, NO BAIRRO COMERCIAL NORTE</t>
  </si>
  <si>
    <t xml:space="preserve">Área = 30,00x2+37,00x2 </t>
  </si>
  <si>
    <t>Área da placa: 2,50 x 4,0 = 10,00 m²</t>
  </si>
  <si>
    <t>A = (52x0,8x0,7)+(14x0,8x0,7)+(7x0,8x0,7)+(4x0,9x0,7)</t>
  </si>
  <si>
    <t>V = Área de regularização (43,4) X 0,05</t>
  </si>
  <si>
    <t>Conforme projeto estrutural</t>
  </si>
  <si>
    <t>Área de Fôrma de Sapatas</t>
  </si>
  <si>
    <t>Impermeabilização de estruturas enterradas, com tinta asfáltica, duas demãos</t>
  </si>
  <si>
    <t>Executado Físico</t>
  </si>
  <si>
    <t>V = (52x0,8x0,7x0,60)+(14x0,8x0,7x0,60)+(7x0,8x0,7x0,60)+(4x0,9x0,7x0,60)</t>
  </si>
  <si>
    <t>Extensão linear (seção 40x40cm) →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</si>
  <si>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</si>
  <si>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</si>
  <si>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</si>
  <si>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</si>
  <si>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</si>
  <si>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</si>
  <si>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</si>
  <si>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</si>
  <si>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=4*(0,6*2+0,80*2+0,05*2)*0,60</t>
  </si>
  <si>
    <t>Escavação manual para bloco de sapata, com previsão de fôrma.</t>
  </si>
  <si>
    <t>Armação de sapata utilizando aço CA-6O de 5 mm - montagem. AF_06/2017</t>
  </si>
  <si>
    <t>Armação de sapata utilizando aço CA-5O de 6,3 mm - montagem. AF_06/2017</t>
  </si>
  <si>
    <t>Armação de sapata utilizando aço CA-5O de 8 mm - montagem. AF_06/2017</t>
  </si>
  <si>
    <t>Armação de sapata utilizando aço CA-5O de 10 mm - montagem. AF_06/2017</t>
  </si>
  <si>
    <t>Armação de sapata utilizando aço CA-5O de 12,5 mm - montagem. AF_06/2017</t>
  </si>
  <si>
    <t>Armação de sapata utilizando aço CA-5O de 16 mm - montagem. AF_06/2017</t>
  </si>
  <si>
    <t>Armação de sapata utilizando aço CA-5O de 20 mm - montagem. AF_06/2017</t>
  </si>
  <si>
    <t xml:space="preserve">Concreto Fck= 30Mpa, traço 1:2,1:2,6 (cimento/areia média/brita 1) - preparo mecânico com betoneira 400 L. </t>
  </si>
  <si>
    <t>Lançamento com uso de baldes, adensamento e acabamento de concreto em estruturas.</t>
  </si>
  <si>
    <t>Reaterro manual apiloado com soquete.</t>
  </si>
  <si>
    <t>Armação de sapata utilizando aço CA-6O de 5 mm - montagem.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</si>
  <si>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</si>
  <si>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</si>
  <si>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</si>
  <si>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</si>
  <si>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</si>
  <si>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</si>
  <si>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Locação convencional de obra, utilizando gabarito de tábuas corridas pontaletadas a cada 2,00m - 2 utilizações.</t>
  </si>
  <si>
    <t>Comprimento da Base</t>
  </si>
  <si>
    <t>Largura da Base</t>
  </si>
  <si>
    <t>Altura da Base</t>
  </si>
  <si>
    <t>Comprimento do Fuste</t>
  </si>
  <si>
    <t>Largura do Fuste</t>
  </si>
  <si>
    <t>Altura da Piramide</t>
  </si>
  <si>
    <t>0,60</t>
  </si>
  <si>
    <t>0,25</t>
  </si>
  <si>
    <t>0,30</t>
  </si>
  <si>
    <t>0,15</t>
  </si>
  <si>
    <t>0,10</t>
  </si>
  <si>
    <t>V1 =</t>
  </si>
  <si>
    <t>Comp da Base</t>
  </si>
  <si>
    <t>Lag. Da Base</t>
  </si>
  <si>
    <t>m  x</t>
  </si>
  <si>
    <t>m  =</t>
  </si>
  <si>
    <t>Total</t>
  </si>
  <si>
    <t>V2 =</t>
  </si>
  <si>
    <t>S1 =</t>
  </si>
  <si>
    <t>Comp. Da Base</t>
  </si>
  <si>
    <t>Larg. Da Base</t>
  </si>
  <si>
    <t>Comp do Fuste</t>
  </si>
  <si>
    <t>Larg do Fuste</t>
  </si>
  <si>
    <t>Total  =</t>
  </si>
  <si>
    <t>Subtotal (V1 + V2) =</t>
  </si>
  <si>
    <t>Volume</t>
  </si>
  <si>
    <t>und  =</t>
  </si>
  <si>
    <t>Qtd</t>
  </si>
  <si>
    <t>Será adotado o mesmo volume calculado no item 3.1.12</t>
  </si>
  <si>
    <t>m³  x</t>
  </si>
  <si>
    <t>Sapatas 60 x 80 cm, com 60 cm de altura</t>
  </si>
  <si>
    <t xml:space="preserve">Lançamento com uso de baldes, adensamento e acabamento de concreto em estruturas. </t>
  </si>
  <si>
    <t xml:space="preserve">Fabricação, montagem e desmontagem de fôrma para sapata, em madeira serrada, E=25 mm, 4 utilizações. </t>
  </si>
  <si>
    <t xml:space="preserve">Limpeza manual de vegetação em terreno com enxada (CÓDIGO - 98524/SINAPI - 08/2021)   </t>
  </si>
  <si>
    <t xml:space="preserve">Aterro manual com solo argilo-arenoso e compactado mecanizada (CÓDIGO - 94319/SINAPI - 08/2021) </t>
  </si>
  <si>
    <t>Entrada de energia elétrica trifásica</t>
  </si>
  <si>
    <t>30/09/2020 a 10/12/2021</t>
  </si>
  <si>
    <t xml:space="preserve">TOTAL </t>
  </si>
  <si>
    <t>01/06/2022 a 30/06/2022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</si>
</sst>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4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</cellStyleXfs>
  <cellXfs count="602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4" fillId="2" borderId="0" xfId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Alignment="1">
      <alignment vertical="center" wrapText="1"/>
    </xf>
    <xf numFmtId="44" fontId="3" fillId="2" borderId="0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4" fontId="3" fillId="2" borderId="0" xfId="0" applyNumberFormat="1" applyFont="1" applyFill="1" applyAlignment="1" applyProtection="1">
      <alignment vertical="center" wrapText="1"/>
      <protection locked="0" hidden="1"/>
    </xf>
    <xf numFmtId="0" fontId="4" fillId="2" borderId="0" xfId="0" applyFont="1" applyFill="1" applyAlignment="1" applyProtection="1">
      <alignment vertical="center" wrapText="1"/>
      <protection hidden="1"/>
    </xf>
    <xf numFmtId="10" fontId="3" fillId="2" borderId="0" xfId="2" applyNumberFormat="1" applyFont="1" applyFill="1" applyBorder="1" applyAlignment="1">
      <alignment vertical="center" wrapText="1"/>
    </xf>
    <xf numFmtId="44" fontId="3" fillId="2" borderId="0" xfId="0" applyNumberFormat="1" applyFont="1" applyFill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4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4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 applyProtection="1">
      <alignment horizontal="center" vertical="center"/>
      <protection locked="0"/>
    </xf>
    <xf numFmtId="43" fontId="3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vertical="center"/>
      <protection locked="0" hidden="1"/>
    </xf>
    <xf numFmtId="44" fontId="4" fillId="2" borderId="1" xfId="4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44" fontId="4" fillId="2" borderId="1" xfId="4" applyFont="1" applyFill="1" applyBorder="1" applyAlignment="1">
      <alignment horizontal="right" wrapText="1"/>
    </xf>
    <xf numFmtId="44" fontId="4" fillId="2" borderId="1" xfId="4" applyFont="1" applyFill="1" applyBorder="1" applyAlignment="1"/>
    <xf numFmtId="43" fontId="4" fillId="2" borderId="1" xfId="1" applyFont="1" applyFill="1" applyBorder="1" applyAlignment="1"/>
    <xf numFmtId="43" fontId="4" fillId="3" borderId="1" xfId="1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/>
    <xf numFmtId="43" fontId="4" fillId="3" borderId="1" xfId="1" applyFont="1" applyFill="1" applyBorder="1" applyAlignment="1"/>
    <xf numFmtId="44" fontId="3" fillId="3" borderId="1" xfId="4" applyFont="1" applyFill="1" applyBorder="1" applyAlignment="1"/>
    <xf numFmtId="0" fontId="3" fillId="3" borderId="0" xfId="0" applyFont="1" applyFill="1" applyAlignment="1">
      <alignment horizontal="center" vertical="center"/>
    </xf>
    <xf numFmtId="43" fontId="3" fillId="3" borderId="1" xfId="1" applyFont="1" applyFill="1" applyBorder="1" applyAlignment="1"/>
    <xf numFmtId="43" fontId="4" fillId="3" borderId="1" xfId="1" applyFont="1" applyFill="1" applyBorder="1" applyAlignment="1">
      <alignment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43" fontId="4" fillId="2" borderId="1" xfId="1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horizontal="right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9" fontId="4" fillId="2" borderId="0" xfId="2" applyFont="1" applyFill="1" applyBorder="1" applyAlignment="1">
      <alignment vertical="center" wrapText="1"/>
    </xf>
    <xf numFmtId="43" fontId="4" fillId="2" borderId="0" xfId="1" applyFont="1" applyFill="1" applyBorder="1"/>
    <xf numFmtId="0" fontId="4" fillId="2" borderId="0" xfId="0" applyFont="1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/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4" fontId="4" fillId="2" borderId="0" xfId="4" applyFont="1" applyFill="1" applyAlignment="1">
      <alignment vertical="center" wrapText="1"/>
    </xf>
    <xf numFmtId="44" fontId="4" fillId="2" borderId="0" xfId="4" applyFont="1" applyFill="1" applyBorder="1" applyAlignment="1">
      <alignment vertical="center" wrapText="1"/>
    </xf>
    <xf numFmtId="43" fontId="4" fillId="2" borderId="0" xfId="1" applyFont="1" applyFill="1"/>
    <xf numFmtId="10" fontId="4" fillId="2" borderId="0" xfId="2" applyNumberFormat="1" applyFont="1" applyFill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2" borderId="6" xfId="1" applyFont="1" applyFill="1" applyBorder="1"/>
    <xf numFmtId="43" fontId="4" fillId="2" borderId="0" xfId="1" applyFont="1" applyFill="1" applyBorder="1" applyAlignment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5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3" fontId="3" fillId="2" borderId="1" xfId="1" applyFont="1" applyFill="1" applyBorder="1" applyAlignment="1">
      <alignment vertic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horizontal="right" wrapText="1"/>
    </xf>
    <xf numFmtId="44" fontId="3" fillId="3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/>
    <xf numFmtId="44" fontId="1" fillId="2" borderId="1" xfId="4" applyFont="1" applyFill="1" applyBorder="1"/>
    <xf numFmtId="0" fontId="1" fillId="2" borderId="0" xfId="0" applyFont="1" applyFill="1"/>
    <xf numFmtId="44" fontId="1" fillId="2" borderId="0" xfId="4" applyFont="1" applyFill="1"/>
    <xf numFmtId="0" fontId="12" fillId="2" borderId="1" xfId="0" applyFont="1" applyFill="1" applyBorder="1"/>
    <xf numFmtId="44" fontId="12" fillId="2" borderId="1" xfId="4" applyFont="1" applyFill="1" applyBorder="1"/>
    <xf numFmtId="0" fontId="11" fillId="2" borderId="1" xfId="0" applyFont="1" applyFill="1" applyBorder="1"/>
    <xf numFmtId="44" fontId="11" fillId="2" borderId="1" xfId="4" applyFont="1" applyFill="1" applyBorder="1"/>
    <xf numFmtId="0" fontId="10" fillId="2" borderId="1" xfId="0" applyFont="1" applyFill="1" applyBorder="1"/>
    <xf numFmtId="44" fontId="10" fillId="2" borderId="1" xfId="4" applyFont="1" applyFill="1" applyBorder="1"/>
    <xf numFmtId="0" fontId="14" fillId="2" borderId="1" xfId="0" applyFont="1" applyFill="1" applyBorder="1"/>
    <xf numFmtId="44" fontId="14" fillId="2" borderId="1" xfId="4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6" fillId="2" borderId="1" xfId="0" applyFont="1" applyFill="1" applyBorder="1"/>
    <xf numFmtId="44" fontId="16" fillId="2" borderId="1" xfId="4" applyFont="1" applyFill="1" applyBorder="1"/>
    <xf numFmtId="43" fontId="4" fillId="2" borderId="0" xfId="1" applyFont="1" applyFill="1" applyBorder="1" applyAlignment="1">
      <alignment horizontal="right" wrapText="1"/>
    </xf>
    <xf numFmtId="0" fontId="3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10" fontId="3" fillId="2" borderId="0" xfId="2" applyNumberFormat="1" applyFont="1" applyFill="1" applyBorder="1" applyAlignment="1">
      <alignment horizontal="right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17" fillId="3" borderId="1" xfId="0" applyFont="1" applyFill="1" applyBorder="1"/>
    <xf numFmtId="44" fontId="17" fillId="3" borderId="1" xfId="4" applyFont="1" applyFill="1" applyBorder="1"/>
    <xf numFmtId="44" fontId="18" fillId="2" borderId="0" xfId="0" applyNumberFormat="1" applyFont="1" applyFill="1"/>
    <xf numFmtId="0" fontId="18" fillId="2" borderId="0" xfId="0" applyFont="1" applyFill="1"/>
    <xf numFmtId="10" fontId="4" fillId="2" borderId="1" xfId="4" applyNumberFormat="1" applyFont="1" applyFill="1" applyBorder="1" applyAlignment="1" applyProtection="1">
      <alignment vertical="center"/>
      <protection locked="0" hidden="1"/>
    </xf>
    <xf numFmtId="10" fontId="3" fillId="3" borderId="1" xfId="4" applyNumberFormat="1" applyFont="1" applyFill="1" applyBorder="1" applyAlignment="1">
      <alignment vertical="center"/>
    </xf>
    <xf numFmtId="10" fontId="3" fillId="3" borderId="1" xfId="4" applyNumberFormat="1" applyFont="1" applyFill="1" applyBorder="1" applyAlignment="1"/>
    <xf numFmtId="10" fontId="4" fillId="3" borderId="1" xfId="2" applyNumberFormat="1" applyFont="1" applyFill="1" applyBorder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wrapText="1"/>
    </xf>
    <xf numFmtId="43" fontId="3" fillId="0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/>
      <protection hidden="1"/>
    </xf>
    <xf numFmtId="10" fontId="3" fillId="2" borderId="0" xfId="2" applyNumberFormat="1" applyFont="1" applyFill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44" fontId="4" fillId="2" borderId="0" xfId="4" applyFont="1" applyFill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left" vertical="center" wrapText="1"/>
      <protection hidden="1"/>
    </xf>
    <xf numFmtId="43" fontId="3" fillId="2" borderId="1" xfId="1" applyFont="1" applyFill="1" applyBorder="1" applyAlignment="1" applyProtection="1">
      <alignment horizontal="left" vertical="center" wrapText="1"/>
      <protection locked="0"/>
    </xf>
    <xf numFmtId="43" fontId="3" fillId="2" borderId="1" xfId="1" applyFont="1" applyFill="1" applyBorder="1" applyAlignment="1">
      <alignment horizontal="left" vertical="center" wrapText="1"/>
    </xf>
    <xf numFmtId="44" fontId="4" fillId="2" borderId="1" xfId="4" applyFont="1" applyFill="1" applyBorder="1" applyAlignment="1" applyProtection="1">
      <alignment horizontal="center" vertical="center"/>
      <protection locked="0" hidden="1"/>
    </xf>
    <xf numFmtId="44" fontId="3" fillId="3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/>
    </xf>
    <xf numFmtId="0" fontId="19" fillId="0" borderId="0" xfId="12" applyAlignment="1">
      <alignment horizontal="center"/>
    </xf>
    <xf numFmtId="0" fontId="19" fillId="7" borderId="0" xfId="12" applyFill="1" applyAlignment="1">
      <alignment horizontal="center" vertical="center" wrapText="1"/>
    </xf>
    <xf numFmtId="44" fontId="3" fillId="2" borderId="7" xfId="4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4" fontId="4" fillId="3" borderId="5" xfId="4" applyFont="1" applyFill="1" applyBorder="1" applyAlignment="1">
      <alignment horizontal="right" vertical="center" wrapText="1"/>
    </xf>
    <xf numFmtId="44" fontId="3" fillId="3" borderId="5" xfId="4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3" xfId="1" applyFont="1" applyFill="1" applyBorder="1" applyAlignment="1">
      <alignment vertical="center" wrapText="1"/>
    </xf>
    <xf numFmtId="44" fontId="4" fillId="3" borderId="3" xfId="4" applyFont="1" applyFill="1" applyBorder="1" applyAlignment="1">
      <alignment horizontal="right" vertical="center" wrapText="1"/>
    </xf>
    <xf numFmtId="44" fontId="3" fillId="3" borderId="3" xfId="4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/>
      <protection hidden="1"/>
    </xf>
    <xf numFmtId="44" fontId="4" fillId="2" borderId="7" xfId="4" applyFont="1" applyFill="1" applyBorder="1" applyAlignment="1">
      <alignment horizontal="right" wrapText="1"/>
    </xf>
    <xf numFmtId="44" fontId="4" fillId="2" borderId="7" xfId="4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44" fontId="4" fillId="2" borderId="7" xfId="4" applyFont="1" applyFill="1" applyBorder="1" applyAlignment="1">
      <alignment horizontal="center"/>
    </xf>
    <xf numFmtId="44" fontId="4" fillId="2" borderId="7" xfId="4" applyFont="1" applyFill="1" applyBorder="1" applyAlignment="1">
      <alignment horizontal="right" vertical="center" wrapText="1"/>
    </xf>
    <xf numFmtId="44" fontId="4" fillId="2" borderId="7" xfId="4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4" fontId="4" fillId="2" borderId="6" xfId="4" applyFont="1" applyFill="1" applyBorder="1" applyAlignment="1">
      <alignment horizontal="right" wrapText="1"/>
    </xf>
    <xf numFmtId="44" fontId="4" fillId="2" borderId="6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44" fontId="4" fillId="2" borderId="5" xfId="4" applyFont="1" applyFill="1" applyBorder="1" applyAlignment="1">
      <alignment horizontal="right" wrapText="1"/>
    </xf>
    <xf numFmtId="44" fontId="4" fillId="2" borderId="5" xfId="4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vertical="center"/>
      <protection hidden="1"/>
    </xf>
    <xf numFmtId="44" fontId="4" fillId="2" borderId="5" xfId="4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44" fontId="4" fillId="2" borderId="6" xfId="4" applyFont="1" applyFill="1" applyBorder="1" applyAlignment="1">
      <alignment horizontal="right" vertical="center" wrapText="1"/>
    </xf>
    <xf numFmtId="44" fontId="4" fillId="2" borderId="6" xfId="4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hidden="1"/>
    </xf>
    <xf numFmtId="44" fontId="4" fillId="2" borderId="6" xfId="4" applyFont="1" applyFill="1" applyBorder="1" applyAlignment="1" applyProtection="1">
      <alignment vertical="center"/>
      <protection locked="0" hidden="1"/>
    </xf>
    <xf numFmtId="44" fontId="4" fillId="2" borderId="6" xfId="4" applyFont="1" applyFill="1" applyBorder="1" applyAlignment="1" applyProtection="1">
      <alignment horizontal="center" vertical="center"/>
      <protection locked="0" hidden="1"/>
    </xf>
    <xf numFmtId="44" fontId="4" fillId="2" borderId="5" xfId="4" applyFont="1" applyFill="1" applyBorder="1" applyAlignment="1">
      <alignment horizontal="right" vertical="center" wrapText="1"/>
    </xf>
    <xf numFmtId="44" fontId="4" fillId="2" borderId="5" xfId="4" applyFont="1" applyFill="1" applyBorder="1" applyAlignment="1">
      <alignment horizontal="center" vertical="center" wrapText="1"/>
    </xf>
    <xf numFmtId="44" fontId="4" fillId="2" borderId="6" xfId="4" applyFont="1" applyFill="1" applyBorder="1" applyAlignment="1">
      <alignment horizontal="center" vertical="center" wrapText="1"/>
    </xf>
    <xf numFmtId="0" fontId="4" fillId="0" borderId="1" xfId="12" applyFont="1" applyBorder="1" applyAlignment="1">
      <alignment horizontal="center"/>
    </xf>
    <xf numFmtId="0" fontId="4" fillId="7" borderId="1" xfId="1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hidden="1"/>
    </xf>
    <xf numFmtId="43" fontId="3" fillId="2" borderId="0" xfId="1" applyFont="1" applyFill="1" applyAlignment="1" applyProtection="1">
      <alignment vertical="center" wrapText="1"/>
      <protection hidden="1"/>
    </xf>
    <xf numFmtId="167" fontId="4" fillId="2" borderId="0" xfId="1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 wrapText="1"/>
    </xf>
    <xf numFmtId="44" fontId="3" fillId="2" borderId="12" xfId="4" applyFont="1" applyFill="1" applyBorder="1" applyAlignment="1">
      <alignment horizontal="center" vertical="center" wrapText="1"/>
    </xf>
    <xf numFmtId="43" fontId="3" fillId="8" borderId="1" xfId="1" applyFont="1" applyFill="1" applyBorder="1" applyAlignment="1" applyProtection="1">
      <alignment horizontal="center" vertical="center" wrapText="1"/>
    </xf>
    <xf numFmtId="43" fontId="22" fillId="2" borderId="0" xfId="0" applyNumberFormat="1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4" fontId="22" fillId="3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6" fillId="0" borderId="1" xfId="13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12" xfId="1" applyFont="1" applyFill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44" fontId="4" fillId="0" borderId="1" xfId="4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4" fontId="27" fillId="0" borderId="1" xfId="0" applyNumberFormat="1" applyFont="1" applyBorder="1" applyAlignment="1">
      <alignment vertical="center" wrapText="1"/>
    </xf>
    <xf numFmtId="168" fontId="7" fillId="0" borderId="1" xfId="0" applyNumberFormat="1" applyFont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167" fontId="26" fillId="0" borderId="1" xfId="0" applyNumberFormat="1" applyFont="1" applyBorder="1" applyAlignment="1">
      <alignment horizontal="center" vertical="center" wrapText="1"/>
    </xf>
    <xf numFmtId="169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4" fillId="0" borderId="0" xfId="4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4" fontId="4" fillId="0" borderId="0" xfId="4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43" fontId="4" fillId="4" borderId="1" xfId="1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right" vertical="center" wrapText="1"/>
    </xf>
    <xf numFmtId="44" fontId="3" fillId="4" borderId="1" xfId="4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7" xfId="4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1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8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4" fontId="4" fillId="4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10" fontId="4" fillId="4" borderId="1" xfId="4" applyNumberFormat="1" applyFont="1" applyFill="1" applyBorder="1" applyAlignment="1">
      <alignment horizontal="center" vertical="center" wrapText="1"/>
    </xf>
    <xf numFmtId="10" fontId="4" fillId="0" borderId="1" xfId="4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7" fillId="9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44" fontId="3" fillId="0" borderId="0" xfId="4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left" vertical="center" wrapText="1"/>
    </xf>
    <xf numFmtId="170" fontId="6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horizontal="center" vertical="center" wrapText="1"/>
    </xf>
    <xf numFmtId="170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71" fontId="6" fillId="2" borderId="0" xfId="0" applyNumberFormat="1" applyFont="1" applyFill="1" applyAlignment="1">
      <alignment horizontal="left" vertical="center" wrapText="1"/>
    </xf>
    <xf numFmtId="171" fontId="6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43" fontId="9" fillId="4" borderId="0" xfId="0" applyNumberFormat="1" applyFont="1" applyFill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44" fontId="4" fillId="0" borderId="1" xfId="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44" fontId="4" fillId="4" borderId="0" xfId="0" applyNumberFormat="1" applyFont="1" applyFill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167" fontId="3" fillId="2" borderId="1" xfId="1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4" applyFont="1" applyFill="1" applyAlignment="1">
      <alignment vertical="center" wrapText="1"/>
    </xf>
    <xf numFmtId="44" fontId="9" fillId="0" borderId="7" xfId="4" applyFont="1" applyFill="1" applyBorder="1" applyAlignment="1" applyProtection="1">
      <alignment horizontal="center" vertical="center" wrapText="1"/>
    </xf>
    <xf numFmtId="4" fontId="2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4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4" fontId="3" fillId="0" borderId="1" xfId="4" applyFont="1" applyFill="1" applyBorder="1" applyAlignment="1">
      <alignment horizontal="right" vertical="center" wrapText="1"/>
    </xf>
    <xf numFmtId="44" fontId="3" fillId="0" borderId="1" xfId="4" applyFont="1" applyFill="1" applyBorder="1" applyAlignment="1">
      <alignment vertical="center" wrapText="1"/>
    </xf>
    <xf numFmtId="4" fontId="29" fillId="0" borderId="1" xfId="0" applyNumberFormat="1" applyFont="1" applyBorder="1" applyAlignment="1">
      <alignment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169" fontId="4" fillId="0" borderId="1" xfId="4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 wrapText="1"/>
    </xf>
    <xf numFmtId="10" fontId="4" fillId="0" borderId="1" xfId="4" applyNumberFormat="1" applyFont="1" applyFill="1" applyBorder="1" applyAlignment="1">
      <alignment horizontal="right" vertical="center" wrapText="1"/>
    </xf>
    <xf numFmtId="2" fontId="4" fillId="0" borderId="1" xfId="4" applyNumberFormat="1" applyFont="1" applyFill="1" applyBorder="1" applyAlignment="1">
      <alignment horizontal="right" vertical="center" wrapText="1"/>
    </xf>
    <xf numFmtId="169" fontId="4" fillId="0" borderId="1" xfId="4" applyNumberFormat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vertical="center" wrapText="1"/>
    </xf>
    <xf numFmtId="4" fontId="3" fillId="4" borderId="1" xfId="4" applyNumberFormat="1" applyFont="1" applyFill="1" applyBorder="1" applyAlignment="1">
      <alignment horizontal="right" vertical="center" wrapText="1"/>
    </xf>
    <xf numFmtId="4" fontId="4" fillId="4" borderId="1" xfId="1" applyNumberFormat="1" applyFont="1" applyFill="1" applyBorder="1" applyAlignment="1">
      <alignment vertical="center" wrapText="1"/>
    </xf>
    <xf numFmtId="169" fontId="4" fillId="0" borderId="1" xfId="1" applyNumberFormat="1" applyFont="1" applyFill="1" applyBorder="1" applyAlignment="1">
      <alignment vertical="center" wrapText="1"/>
    </xf>
    <xf numFmtId="169" fontId="3" fillId="4" borderId="1" xfId="4" applyNumberFormat="1" applyFont="1" applyFill="1" applyBorder="1" applyAlignment="1">
      <alignment horizontal="right" vertical="center" wrapText="1"/>
    </xf>
    <xf numFmtId="43" fontId="3" fillId="4" borderId="1" xfId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4" applyNumberFormat="1" applyFont="1" applyFill="1" applyBorder="1" applyAlignment="1">
      <alignment horizontal="center" vertical="center" wrapText="1"/>
    </xf>
    <xf numFmtId="169" fontId="3" fillId="4" borderId="1" xfId="4" applyNumberFormat="1" applyFont="1" applyFill="1" applyBorder="1" applyAlignment="1">
      <alignment horizontal="center" vertical="center" wrapText="1"/>
    </xf>
    <xf numFmtId="4" fontId="3" fillId="4" borderId="1" xfId="4" applyNumberFormat="1" applyFont="1" applyFill="1" applyBorder="1" applyAlignment="1">
      <alignment horizontal="center" vertical="center" wrapText="1"/>
    </xf>
    <xf numFmtId="10" fontId="3" fillId="4" borderId="1" xfId="4" applyNumberFormat="1" applyFont="1" applyFill="1" applyBorder="1" applyAlignment="1">
      <alignment horizontal="center" vertical="center" wrapText="1"/>
    </xf>
    <xf numFmtId="44" fontId="3" fillId="4" borderId="1" xfId="4" applyFont="1" applyFill="1" applyBorder="1" applyAlignment="1">
      <alignment vertical="center" wrapText="1"/>
    </xf>
    <xf numFmtId="43" fontId="3" fillId="4" borderId="1" xfId="1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0" fillId="4" borderId="1" xfId="0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horizontal="center" vertical="center" wrapText="1"/>
    </xf>
    <xf numFmtId="4" fontId="31" fillId="4" borderId="1" xfId="4" applyNumberFormat="1" applyFont="1" applyFill="1" applyBorder="1" applyAlignment="1">
      <alignment horizontal="center" vertical="center" wrapText="1"/>
    </xf>
    <xf numFmtId="10" fontId="31" fillId="4" borderId="1" xfId="4" applyNumberFormat="1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right" vertical="center" wrapText="1"/>
    </xf>
    <xf numFmtId="43" fontId="30" fillId="4" borderId="1" xfId="1" applyFont="1" applyFill="1" applyBorder="1" applyAlignment="1">
      <alignment vertical="center" wrapText="1"/>
    </xf>
    <xf numFmtId="2" fontId="30" fillId="4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right" vertical="center" wrapText="1"/>
    </xf>
    <xf numFmtId="4" fontId="32" fillId="0" borderId="1" xfId="4" applyNumberFormat="1" applyFont="1" applyFill="1" applyBorder="1" applyAlignment="1">
      <alignment horizontal="center" vertical="center" wrapText="1"/>
    </xf>
    <xf numFmtId="10" fontId="32" fillId="0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4" fontId="33" fillId="0" borderId="1" xfId="0" applyNumberFormat="1" applyFont="1" applyBorder="1" applyAlignment="1">
      <alignment vertical="center" wrapText="1"/>
    </xf>
    <xf numFmtId="4" fontId="34" fillId="0" borderId="1" xfId="0" applyNumberFormat="1" applyFont="1" applyBorder="1" applyAlignment="1">
      <alignment vertical="center" wrapText="1"/>
    </xf>
    <xf numFmtId="44" fontId="21" fillId="0" borderId="1" xfId="4" applyFont="1" applyFill="1" applyBorder="1" applyAlignment="1">
      <alignment horizontal="right" vertical="center" wrapText="1"/>
    </xf>
    <xf numFmtId="4" fontId="21" fillId="0" borderId="1" xfId="4" applyNumberFormat="1" applyFont="1" applyFill="1" applyBorder="1" applyAlignment="1">
      <alignment horizontal="center" vertical="center" wrapText="1"/>
    </xf>
    <xf numFmtId="10" fontId="21" fillId="0" borderId="1" xfId="4" applyNumberFormat="1" applyFont="1" applyFill="1" applyBorder="1" applyAlignment="1">
      <alignment horizontal="center" vertical="center" wrapText="1"/>
    </xf>
    <xf numFmtId="44" fontId="21" fillId="0" borderId="1" xfId="4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vertical="center" wrapText="1"/>
    </xf>
    <xf numFmtId="4" fontId="21" fillId="0" borderId="1" xfId="4" applyNumberFormat="1" applyFont="1" applyFill="1" applyBorder="1" applyAlignment="1">
      <alignment horizontal="right" vertical="center" wrapText="1"/>
    </xf>
    <xf numFmtId="10" fontId="21" fillId="0" borderId="1" xfId="4" applyNumberFormat="1" applyFont="1" applyFill="1" applyBorder="1" applyAlignment="1">
      <alignment horizontal="right" vertical="center" wrapText="1"/>
    </xf>
    <xf numFmtId="169" fontId="21" fillId="0" borderId="1" xfId="4" applyNumberFormat="1" applyFont="1" applyFill="1" applyBorder="1" applyAlignment="1">
      <alignment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3" fontId="21" fillId="0" borderId="1" xfId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4" fontId="30" fillId="4" borderId="1" xfId="4" applyNumberFormat="1" applyFont="1" applyFill="1" applyBorder="1" applyAlignment="1">
      <alignment horizontal="center" vertical="center" wrapText="1"/>
    </xf>
    <xf numFmtId="2" fontId="30" fillId="4" borderId="1" xfId="4" applyNumberFormat="1" applyFont="1" applyFill="1" applyBorder="1" applyAlignment="1">
      <alignment vertical="center" wrapText="1"/>
    </xf>
    <xf numFmtId="4" fontId="30" fillId="4" borderId="1" xfId="4" applyNumberFormat="1" applyFont="1" applyFill="1" applyBorder="1" applyAlignment="1">
      <alignment vertical="center" wrapText="1"/>
    </xf>
    <xf numFmtId="4" fontId="35" fillId="0" borderId="1" xfId="0" applyNumberFormat="1" applyFont="1" applyBorder="1" applyAlignment="1">
      <alignment vertical="center"/>
    </xf>
    <xf numFmtId="0" fontId="32" fillId="0" borderId="0" xfId="0" applyFont="1" applyAlignment="1">
      <alignment vertical="center" wrapText="1"/>
    </xf>
    <xf numFmtId="169" fontId="30" fillId="4" borderId="1" xfId="4" applyNumberFormat="1" applyFont="1" applyFill="1" applyBorder="1" applyAlignment="1">
      <alignment vertical="center" wrapText="1"/>
    </xf>
    <xf numFmtId="44" fontId="31" fillId="4" borderId="1" xfId="4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43" fontId="31" fillId="0" borderId="0" xfId="0" applyNumberFormat="1" applyFont="1" applyAlignment="1">
      <alignment horizontal="center" vertical="center" wrapText="1"/>
    </xf>
    <xf numFmtId="0" fontId="31" fillId="4" borderId="0" xfId="0" applyFont="1" applyFill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4" fontId="37" fillId="4" borderId="1" xfId="0" applyNumberFormat="1" applyFont="1" applyFill="1" applyBorder="1" applyAlignment="1">
      <alignment vertical="center"/>
    </xf>
    <xf numFmtId="4" fontId="30" fillId="4" borderId="1" xfId="4" applyNumberFormat="1" applyFont="1" applyFill="1" applyBorder="1" applyAlignment="1">
      <alignment horizontal="right" vertical="center" wrapText="1"/>
    </xf>
    <xf numFmtId="43" fontId="38" fillId="4" borderId="0" xfId="0" applyNumberFormat="1" applyFont="1" applyFill="1" applyAlignment="1">
      <alignment horizontal="center" vertical="center" wrapText="1"/>
    </xf>
    <xf numFmtId="4" fontId="30" fillId="4" borderId="1" xfId="1" applyNumberFormat="1" applyFont="1" applyFill="1" applyBorder="1" applyAlignment="1">
      <alignment vertical="center" wrapText="1"/>
    </xf>
    <xf numFmtId="43" fontId="38" fillId="0" borderId="0" xfId="0" applyNumberFormat="1" applyFont="1" applyAlignment="1">
      <alignment horizontal="center" vertical="center" wrapText="1"/>
    </xf>
    <xf numFmtId="0" fontId="31" fillId="4" borderId="0" xfId="0" applyFont="1" applyFill="1" applyAlignment="1">
      <alignment vertical="center"/>
    </xf>
    <xf numFmtId="43" fontId="30" fillId="4" borderId="1" xfId="1" applyFont="1" applyFill="1" applyBorder="1" applyAlignment="1">
      <alignment horizontal="right" vertical="center" wrapText="1"/>
    </xf>
    <xf numFmtId="169" fontId="30" fillId="4" borderId="1" xfId="4" applyNumberFormat="1" applyFont="1" applyFill="1" applyBorder="1" applyAlignment="1">
      <alignment horizontal="right" vertical="center" wrapText="1"/>
    </xf>
    <xf numFmtId="44" fontId="31" fillId="4" borderId="0" xfId="0" applyNumberFormat="1" applyFont="1" applyFill="1" applyAlignment="1">
      <alignment vertical="center" wrapText="1"/>
    </xf>
    <xf numFmtId="43" fontId="31" fillId="4" borderId="1" xfId="1" applyFont="1" applyFill="1" applyBorder="1" applyAlignment="1">
      <alignment vertical="center" wrapText="1"/>
    </xf>
    <xf numFmtId="10" fontId="30" fillId="4" borderId="1" xfId="4" applyNumberFormat="1" applyFont="1" applyFill="1" applyBorder="1" applyAlignment="1">
      <alignment horizontal="center" vertical="center" wrapText="1"/>
    </xf>
    <xf numFmtId="169" fontId="30" fillId="4" borderId="1" xfId="4" applyNumberFormat="1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vertical="center" wrapText="1"/>
    </xf>
    <xf numFmtId="43" fontId="30" fillId="0" borderId="0" xfId="0" applyNumberFormat="1" applyFont="1" applyAlignment="1">
      <alignment horizontal="center" vertical="center" wrapText="1"/>
    </xf>
    <xf numFmtId="0" fontId="30" fillId="4" borderId="0" xfId="0" applyFont="1" applyFill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4" fontId="39" fillId="0" borderId="1" xfId="0" applyNumberFormat="1" applyFont="1" applyBorder="1" applyAlignment="1">
      <alignment vertical="center" wrapText="1"/>
    </xf>
    <xf numFmtId="4" fontId="40" fillId="0" borderId="1" xfId="0" applyNumberFormat="1" applyFont="1" applyBorder="1" applyAlignment="1">
      <alignment vertical="center" wrapText="1"/>
    </xf>
    <xf numFmtId="4" fontId="41" fillId="0" borderId="0" xfId="0" applyNumberFormat="1" applyFont="1" applyAlignment="1">
      <alignment vertical="center"/>
    </xf>
    <xf numFmtId="43" fontId="38" fillId="0" borderId="0" xfId="0" applyNumberFormat="1" applyFont="1" applyAlignment="1">
      <alignment vertical="center" wrapText="1"/>
    </xf>
    <xf numFmtId="4" fontId="38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38" fillId="0" borderId="0" xfId="0" applyNumberFormat="1" applyFont="1" applyAlignment="1">
      <alignment vertical="center" wrapText="1"/>
    </xf>
    <xf numFmtId="2" fontId="32" fillId="0" borderId="1" xfId="4" applyNumberFormat="1" applyFont="1" applyFill="1" applyBorder="1" applyAlignment="1">
      <alignment horizontal="right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42" fillId="0" borderId="1" xfId="0" applyNumberFormat="1" applyFont="1" applyBorder="1" applyAlignment="1">
      <alignment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4" applyNumberFormat="1" applyFont="1" applyFill="1" applyBorder="1" applyAlignment="1">
      <alignment vertical="center" wrapText="1"/>
    </xf>
    <xf numFmtId="4" fontId="43" fillId="0" borderId="0" xfId="0" applyNumberFormat="1" applyFont="1" applyAlignment="1">
      <alignment vertical="center" wrapText="1"/>
    </xf>
    <xf numFmtId="4" fontId="44" fillId="0" borderId="0" xfId="0" applyNumberFormat="1" applyFont="1" applyAlignment="1">
      <alignment vertical="center" wrapText="1"/>
    </xf>
    <xf numFmtId="4" fontId="4" fillId="0" borderId="0" xfId="1" applyNumberFormat="1" applyFont="1" applyFill="1" applyAlignment="1">
      <alignment horizontal="center" vertical="center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41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30" fillId="0" borderId="0" xfId="0" applyNumberFormat="1" applyFont="1" applyAlignment="1">
      <alignment vertical="center"/>
    </xf>
    <xf numFmtId="43" fontId="30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vertical="center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>
      <alignment horizontal="left" vertical="center" wrapText="1"/>
    </xf>
    <xf numFmtId="167" fontId="3" fillId="2" borderId="3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0" fontId="4" fillId="2" borderId="1" xfId="2" applyNumberFormat="1" applyFont="1" applyFill="1" applyBorder="1" applyAlignment="1" applyProtection="1">
      <alignment horizontal="left" vertical="center" wrapText="1"/>
      <protection locked="0" hidden="1"/>
    </xf>
    <xf numFmtId="1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10" fontId="3" fillId="2" borderId="2" xfId="2" applyNumberFormat="1" applyFont="1" applyFill="1" applyBorder="1" applyAlignment="1" applyProtection="1">
      <alignment horizontal="center" vertical="center" wrapText="1"/>
    </xf>
    <xf numFmtId="10" fontId="3" fillId="2" borderId="3" xfId="2" applyNumberFormat="1" applyFont="1" applyFill="1" applyBorder="1" applyAlignment="1" applyProtection="1">
      <alignment horizontal="center" vertical="center" wrapText="1"/>
    </xf>
    <xf numFmtId="10" fontId="3" fillId="2" borderId="4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3" xfId="0" applyNumberFormat="1" applyFont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Border="1" applyAlignment="1" applyProtection="1">
      <alignment horizontal="left" vertical="center" wrapText="1"/>
      <protection locked="0" hidden="1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0" fontId="3" fillId="0" borderId="2" xfId="2" applyNumberFormat="1" applyFont="1" applyFill="1" applyBorder="1" applyAlignment="1" applyProtection="1">
      <alignment horizontal="center" vertical="center" wrapText="1"/>
    </xf>
    <xf numFmtId="10" fontId="3" fillId="0" borderId="3" xfId="2" applyNumberFormat="1" applyFont="1" applyFill="1" applyBorder="1" applyAlignment="1" applyProtection="1">
      <alignment horizontal="center" vertical="center" wrapText="1"/>
    </xf>
    <xf numFmtId="10" fontId="3" fillId="0" borderId="4" xfId="2" applyNumberFormat="1" applyFont="1" applyFill="1" applyBorder="1" applyAlignment="1" applyProtection="1">
      <alignment horizontal="center" vertical="center" wrapText="1"/>
    </xf>
    <xf numFmtId="168" fontId="3" fillId="0" borderId="2" xfId="1" applyNumberFormat="1" applyFont="1" applyFill="1" applyBorder="1" applyAlignment="1" applyProtection="1">
      <alignment horizontal="center" vertical="center" wrapText="1"/>
    </xf>
    <xf numFmtId="168" fontId="3" fillId="0" borderId="19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0" borderId="19" xfId="0" applyNumberFormat="1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left" vertical="center" wrapText="1"/>
    </xf>
    <xf numFmtId="167" fontId="3" fillId="0" borderId="20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7" fontId="3" fillId="0" borderId="2" xfId="1" applyNumberFormat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left" vertical="center" wrapText="1"/>
    </xf>
    <xf numFmtId="167" fontId="3" fillId="0" borderId="4" xfId="1" applyNumberFormat="1" applyFont="1" applyFill="1" applyBorder="1" applyAlignment="1">
      <alignment horizontal="left" vertical="center" wrapText="1"/>
    </xf>
    <xf numFmtId="10" fontId="3" fillId="0" borderId="2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14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0" fillId="4" borderId="2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36" fillId="4" borderId="2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  <xf numFmtId="167" fontId="4" fillId="0" borderId="2" xfId="1" applyNumberFormat="1" applyFont="1" applyFill="1" applyBorder="1" applyAlignment="1">
      <alignment horizontal="left" vertical="center" wrapText="1"/>
    </xf>
    <xf numFmtId="167" fontId="4" fillId="0" borderId="3" xfId="1" applyNumberFormat="1" applyFont="1" applyFill="1" applyBorder="1" applyAlignment="1">
      <alignment horizontal="left" vertical="center" wrapText="1"/>
    </xf>
    <xf numFmtId="167" fontId="4" fillId="0" borderId="4" xfId="1" applyNumberFormat="1" applyFont="1" applyFill="1" applyBorder="1" applyAlignment="1">
      <alignment horizontal="left" vertical="center" wrapText="1"/>
    </xf>
    <xf numFmtId="167" fontId="4" fillId="0" borderId="20" xfId="1" applyNumberFormat="1" applyFont="1" applyFill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left" vertical="center" wrapText="1"/>
    </xf>
  </cellXfs>
  <cellStyles count="14">
    <cellStyle name="Excel Built-in Normal" xfId="8"/>
    <cellStyle name="Hyperlink" xfId="12" builtinId="8"/>
    <cellStyle name="Moeda" xfId="4" builtinId="4"/>
    <cellStyle name="Moeda 2" xfId="9"/>
    <cellStyle name="Normal" xfId="0" builtinId="0"/>
    <cellStyle name="Normal 2" xfId="3"/>
    <cellStyle name="Normal 2 2" xfId="5"/>
    <cellStyle name="Normal 2 3" xfId="10"/>
    <cellStyle name="Porcentagem" xfId="2" builtinId="5"/>
    <cellStyle name="Porcentagem 2" xfId="6"/>
    <cellStyle name="Porcentagem 2 2" xfId="7"/>
    <cellStyle name="Separador de milhares" xfId="1" builtinId="3"/>
    <cellStyle name="Separador de milhares 2" xfId="11"/>
    <cellStyle name="Vírgula 5" xfId="1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42332</xdr:rowOff>
    </xdr:from>
    <xdr:to>
      <xdr:col>1</xdr:col>
      <xdr:colOff>539749</xdr:colOff>
      <xdr:row>1</xdr:row>
      <xdr:rowOff>42332</xdr:rowOff>
    </xdr:to>
    <xdr:pic>
      <xdr:nvPicPr>
        <xdr:cNvPr id="2" name="Imagem 1" descr="logomarca f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915" y="42332"/>
          <a:ext cx="1100667" cy="33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235385</xdr:colOff>
      <xdr:row>5</xdr:row>
      <xdr:rowOff>14654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8846" y="0"/>
          <a:ext cx="3268731" cy="89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3933EAA-AE12-4008-9B51-FE57DC3A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E30E5EF-C31E-4032-83F4-FF22642B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:a16="http://schemas.microsoft.com/office/drawing/2014/main" xmlns="" id="{CD5C0679-22FB-41AD-9175-F38F9740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:a16="http://schemas.microsoft.com/office/drawing/2014/main" xmlns="" id="{6C444ACE-65AF-41D7-B2F0-8733022E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16310</xdr:colOff>
      <xdr:row>4</xdr:row>
      <xdr:rowOff>157529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C563A8B5-B5DA-4208-A3CC-9B532DF7E9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0"/>
          <a:ext cx="3273860" cy="890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30014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5"/>
          <a:ext cx="1457325" cy="525314"/>
        </a:xfrm>
        <a:prstGeom prst="rect">
          <a:avLst/>
        </a:prstGeom>
      </xdr:spPr>
    </xdr:pic>
    <xdr:clientData/>
  </xdr:twoCellAnchor>
  <xdr:twoCellAnchor editAs="oneCell">
    <xdr:from>
      <xdr:col>1</xdr:col>
      <xdr:colOff>2180168</xdr:colOff>
      <xdr:row>85</xdr:row>
      <xdr:rowOff>84667</xdr:rowOff>
    </xdr:from>
    <xdr:to>
      <xdr:col>4</xdr:col>
      <xdr:colOff>465666</xdr:colOff>
      <xdr:row>86</xdr:row>
      <xdr:rowOff>186500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twoCellAnchor>
  <xdr:oneCellAnchor>
    <xdr:from>
      <xdr:col>1</xdr:col>
      <xdr:colOff>2180168</xdr:colOff>
      <xdr:row>111</xdr:row>
      <xdr:rowOff>84667</xdr:rowOff>
    </xdr:from>
    <xdr:ext cx="1682748" cy="260583"/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137</xdr:row>
      <xdr:rowOff>84667</xdr:rowOff>
    </xdr:from>
    <xdr:ext cx="1682748" cy="260583"/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7949334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163</xdr:row>
      <xdr:rowOff>84667</xdr:rowOff>
    </xdr:from>
    <xdr:ext cx="1682748" cy="260583"/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22182667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189</xdr:row>
      <xdr:rowOff>84667</xdr:rowOff>
    </xdr:from>
    <xdr:ext cx="1682748" cy="260583"/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9743" y="26916592"/>
          <a:ext cx="1682748" cy="26058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BS%20COM.%20NORTE%20LICITADA/UBS%20COM.%20NORTE%20LICITADA/MEM&#211;RIA%203&#170;BOLETIM%20MEDI&#199;&#195;O-UBS%20-Bayeux%20(1)%20(1)%20(1)%20(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lace/Downloads/MEM&#211;RIA%203&#170;BOLETIM%20MEDI&#199;&#195;O-UBS%20-Bayeux%20(1)%20(1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67">
          <cell r="M67">
            <v>29.06</v>
          </cell>
        </row>
        <row r="303">
          <cell r="M303">
            <v>176.4</v>
          </cell>
        </row>
        <row r="322">
          <cell r="M322">
            <v>226.86</v>
          </cell>
        </row>
        <row r="334">
          <cell r="M334">
            <v>364.95</v>
          </cell>
        </row>
        <row r="342">
          <cell r="M342">
            <v>166.32</v>
          </cell>
        </row>
        <row r="350">
          <cell r="M350">
            <v>38.97</v>
          </cell>
        </row>
        <row r="356">
          <cell r="M356">
            <v>7.94</v>
          </cell>
        </row>
        <row r="363">
          <cell r="M363">
            <v>7.94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 refreshError="1">
        <row r="27">
          <cell r="M27">
            <v>27.23</v>
          </cell>
        </row>
        <row r="358">
          <cell r="M358">
            <v>27.87</v>
          </cell>
        </row>
        <row r="366">
          <cell r="M366">
            <v>19.84</v>
          </cell>
        </row>
        <row r="380">
          <cell r="M380">
            <v>21.12</v>
          </cell>
        </row>
        <row r="391">
          <cell r="M391">
            <v>16.04</v>
          </cell>
        </row>
        <row r="398">
          <cell r="M398">
            <v>0.76</v>
          </cell>
        </row>
        <row r="405">
          <cell r="M405">
            <v>0.76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2.135/orse/composicao.asp?font_sg_fonte=ORSE&amp;serv_nr_codigo=11366&amp;peri_nr_ano=2018&amp;peri_nr_mes=9&amp;peri_nr_ordem=1" TargetMode="External"/><Relationship Id="rId18" Type="http://schemas.openxmlformats.org/officeDocument/2006/relationships/hyperlink" Target="http://187.17.2.135/orse/composicao.asp?font_sg_fonte=SINAPI&amp;serv_nr_codigo=88483&amp;peri_nr_ano=2018&amp;peri_nr_mes=9&amp;peri_nr_ordem=1" TargetMode="External"/><Relationship Id="rId26" Type="http://schemas.openxmlformats.org/officeDocument/2006/relationships/hyperlink" Target="http://187.17.2.135/orse/composicao.asp?font_sg_fonte=ORSE&amp;serv_nr_codigo=1430&amp;peri_nr_ano=2018&amp;peri_nr_mes=9&amp;peri_nr_ordem=1" TargetMode="External"/><Relationship Id="rId39" Type="http://schemas.openxmlformats.org/officeDocument/2006/relationships/hyperlink" Target="http://187.17.2.135/orse/composicao.asp?font_sg_fonte=ORSE&amp;serv_nr_codigo=9933&amp;peri_nr_ano=2018&amp;peri_nr_mes=9&amp;peri_nr_ordem=1" TargetMode="External"/><Relationship Id="rId21" Type="http://schemas.openxmlformats.org/officeDocument/2006/relationships/hyperlink" Target="http://187.17.2.135/orse/composicao.asp?font_sg_fonte=ORSE&amp;serv_nr_codigo=7695&amp;peri_nr_ano=2018&amp;peri_nr_mes=9&amp;peri_nr_ordem=1" TargetMode="External"/><Relationship Id="rId34" Type="http://schemas.openxmlformats.org/officeDocument/2006/relationships/hyperlink" Target="http://187.17.2.135/orse/composicao.asp?font_sg_fonte=ORSE&amp;serv_nr_codigo=9965&amp;peri_nr_ano=2018&amp;peri_nr_mes=9&amp;peri_nr_ordem=1" TargetMode="External"/><Relationship Id="rId42" Type="http://schemas.openxmlformats.org/officeDocument/2006/relationships/hyperlink" Target="http://187.17.2.135/orse/composicao.asp?font_sg_fonte=ORSE&amp;serv_nr_codigo=11187&amp;peri_nr_ano=2018&amp;peri_nr_mes=9&amp;peri_nr_ordem=1" TargetMode="External"/><Relationship Id="rId47" Type="http://schemas.openxmlformats.org/officeDocument/2006/relationships/hyperlink" Target="http://187.17.2.135/orse/composicao.asp?font_sg_fonte=SINAPI&amp;serv_nr_codigo=92025&amp;peri_nr_ano=2018&amp;peri_nr_mes=9&amp;peri_nr_ordem=1" TargetMode="External"/><Relationship Id="rId50" Type="http://schemas.openxmlformats.org/officeDocument/2006/relationships/hyperlink" Target="http://187.17.2.135/orse/composicao.asp?font_sg_fonte=SINAPI&amp;serv_nr_codigo=93663&amp;peri_nr_ano=2018&amp;peri_nr_mes=9&amp;peri_nr_ordem=1" TargetMode="External"/><Relationship Id="rId55" Type="http://schemas.openxmlformats.org/officeDocument/2006/relationships/hyperlink" Target="http://187.17.2.135/orse/composicao.asp?font_sg_fonte=ORSE&amp;serv_nr_codigo=2410&amp;peri_nr_ano=2018&amp;peri_nr_mes=9&amp;peri_nr_ordem=1" TargetMode="External"/><Relationship Id="rId7" Type="http://schemas.openxmlformats.org/officeDocument/2006/relationships/hyperlink" Target="http://187.17.2.135/orse/composicao.asp?font_sg_fonte=SINAPI&amp;serv_nr_codigo=91328&amp;peri_nr_ano=2018&amp;peri_nr_mes=9&amp;peri_nr_ordem=1" TargetMode="External"/><Relationship Id="rId12" Type="http://schemas.openxmlformats.org/officeDocument/2006/relationships/hyperlink" Target="http://187.17.2.135/orse/composicao.asp?font_sg_fonte=ORSE&amp;serv_nr_codigo=3315&amp;peri_nr_ano=2018&amp;peri_nr_mes=9&amp;peri_nr_ordem=1" TargetMode="External"/><Relationship Id="rId17" Type="http://schemas.openxmlformats.org/officeDocument/2006/relationships/hyperlink" Target="http://187.17.2.135/orse/composicao.asp?font_sg_fonte=ORSE&amp;serv_nr_codigo=10169&amp;peri_nr_ano=2018&amp;peri_nr_mes=9&amp;peri_nr_ordem=1" TargetMode="External"/><Relationship Id="rId25" Type="http://schemas.openxmlformats.org/officeDocument/2006/relationships/hyperlink" Target="http://187.17.2.135/orse/composicao.asp?font_sg_fonte=ORSE&amp;serv_nr_codigo=2291&amp;peri_nr_ano=2018&amp;peri_nr_mes=9&amp;peri_nr_ordem=1" TargetMode="External"/><Relationship Id="rId33" Type="http://schemas.openxmlformats.org/officeDocument/2006/relationships/hyperlink" Target="http://187.17.2.135/orse/composicao.asp?font_sg_fonte=SINAPI&amp;serv_nr_codigo=86882&amp;peri_nr_ano=2018&amp;peri_nr_mes=9&amp;peri_nr_ordem=1" TargetMode="External"/><Relationship Id="rId38" Type="http://schemas.openxmlformats.org/officeDocument/2006/relationships/hyperlink" Target="http://187.17.2.135/orse/composicao.asp?font_sg_fonte=SINAPI&amp;serv_nr_codigo=95808&amp;peri_nr_ano=2018&amp;peri_nr_mes=9&amp;peri_nr_ordem=1" TargetMode="External"/><Relationship Id="rId46" Type="http://schemas.openxmlformats.org/officeDocument/2006/relationships/hyperlink" Target="http://187.17.2.135/orse/composicao.asp?font_sg_fonte=ORSE&amp;serv_nr_codigo=478&amp;peri_nr_ano=2018&amp;peri_nr_mes=9&amp;peri_nr_ordem=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17.2.135/orse/composicao.asp?font_sg_fonte=SINAPI&amp;serv_nr_codigo=742021&amp;peri_nr_ano=2018&amp;peri_nr_mes=9&amp;peri_nr_ordem=1" TargetMode="External"/><Relationship Id="rId16" Type="http://schemas.openxmlformats.org/officeDocument/2006/relationships/hyperlink" Target="http://187.17.2.135/orse/composicao.asp?font_sg_fonte=ORSE&amp;serv_nr_codigo=7681&amp;peri_nr_ano=2018&amp;peri_nr_mes=9&amp;peri_nr_ordem=1" TargetMode="External"/><Relationship Id="rId20" Type="http://schemas.openxmlformats.org/officeDocument/2006/relationships/hyperlink" Target="http://187.17.2.135/orse/composicao.asp?font_sg_fonte=ORSE&amp;serv_nr_codigo=8624&amp;peri_nr_ano=2018&amp;peri_nr_mes=9&amp;peri_nr_ordem=1" TargetMode="External"/><Relationship Id="rId29" Type="http://schemas.openxmlformats.org/officeDocument/2006/relationships/hyperlink" Target="http://187.17.2.135/orse/composicao.asp?font_sg_fonte=SINAPI&amp;serv_nr_codigo=86915&amp;peri_nr_ano=2018&amp;peri_nr_mes=9&amp;peri_nr_ordem=1" TargetMode="External"/><Relationship Id="rId41" Type="http://schemas.openxmlformats.org/officeDocument/2006/relationships/hyperlink" Target="http://187.17.2.135/orse/composicao.asp?font_sg_fonte=ORSE&amp;serv_nr_codigo=11186&amp;peri_nr_ano=2018&amp;peri_nr_mes=9&amp;peri_nr_ordem=1" TargetMode="External"/><Relationship Id="rId54" Type="http://schemas.openxmlformats.org/officeDocument/2006/relationships/hyperlink" Target="http://187.17.2.135/orse/composicao.asp?font_sg_fonte=ORSE&amp;serv_nr_codigo=10759&amp;peri_nr_ano=2018&amp;peri_nr_mes=9&amp;peri_nr_ordem=1" TargetMode="External"/><Relationship Id="rId1" Type="http://schemas.openxmlformats.org/officeDocument/2006/relationships/hyperlink" Target="http://187.17.2.135/orse/composicao.asp?font_sg_fonte=SINAPI&amp;serv_nr_codigo=95956&amp;peri_nr_ano=2018&amp;peri_nr_mes=9&amp;peri_nr_ordem=1" TargetMode="External"/><Relationship Id="rId6" Type="http://schemas.openxmlformats.org/officeDocument/2006/relationships/hyperlink" Target="http://187.17.2.135/orse/composicao.asp?font_sg_fonte=SINAPI&amp;serv_nr_codigo=90844&amp;peri_nr_ano=2018&amp;peri_nr_mes=9&amp;peri_nr_ordem=1" TargetMode="External"/><Relationship Id="rId11" Type="http://schemas.openxmlformats.org/officeDocument/2006/relationships/hyperlink" Target="http://187.17.2.135/orse/composicao.asp?font_sg_fonte=SINAPI&amp;serv_nr_codigo=89173&amp;peri_nr_ano=2018&amp;peri_nr_mes=9&amp;peri_nr_ordem=1" TargetMode="External"/><Relationship Id="rId24" Type="http://schemas.openxmlformats.org/officeDocument/2006/relationships/hyperlink" Target="http://187.17.2.135/orse/composicao.asp?font_sg_fonte=SINAPI&amp;serv_nr_codigo=72815&amp;peri_nr_ano=2018&amp;peri_nr_mes=9&amp;peri_nr_ordem=1" TargetMode="External"/><Relationship Id="rId32" Type="http://schemas.openxmlformats.org/officeDocument/2006/relationships/hyperlink" Target="http://187.17.2.135/orse/composicao.asp?font_sg_fonte=ORSE&amp;serv_nr_codigo=4282&amp;peri_nr_ano=2018&amp;peri_nr_mes=9&amp;peri_nr_ordem=1" TargetMode="External"/><Relationship Id="rId37" Type="http://schemas.openxmlformats.org/officeDocument/2006/relationships/hyperlink" Target="http://187.17.2.135/orse/composicao.asp?font_sg_fonte=SINAPI&amp;serv_nr_codigo=95795&amp;peri_nr_ano=2018&amp;peri_nr_mes=9&amp;peri_nr_ordem=1" TargetMode="External"/><Relationship Id="rId40" Type="http://schemas.openxmlformats.org/officeDocument/2006/relationships/hyperlink" Target="http://187.17.2.135/orse/composicao.asp?font_sg_fonte=ORSE&amp;serv_nr_codigo=784&amp;peri_nr_ano=2018&amp;peri_nr_mes=9&amp;peri_nr_ordem=1" TargetMode="External"/><Relationship Id="rId45" Type="http://schemas.openxmlformats.org/officeDocument/2006/relationships/hyperlink" Target="http://187.17.2.135/orse/composicao.asp?font_sg_fonte=ORSE&amp;serv_nr_codigo=780&amp;peri_nr_ano=2018&amp;peri_nr_mes=9&amp;peri_nr_ordem=1" TargetMode="External"/><Relationship Id="rId53" Type="http://schemas.openxmlformats.org/officeDocument/2006/relationships/hyperlink" Target="http://187.17.2.135/orse/composicao.asp?font_sg_fonte=ORSE&amp;serv_nr_codigo=12034&amp;peri_nr_ano=2018&amp;peri_nr_mes=9&amp;peri_nr_ordem=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17.2.135/orse/composicao.asp?font_sg_fonte=SINAPI&amp;serv_nr_codigo=739371&amp;peri_nr_ano=2018&amp;peri_nr_mes=9&amp;peri_nr_ordem=1" TargetMode="External"/><Relationship Id="rId15" Type="http://schemas.openxmlformats.org/officeDocument/2006/relationships/hyperlink" Target="http://187.17.2.135/orse/composicao.asp?font_sg_fonte=ORSE&amp;serv_nr_codigo=9962&amp;peri_nr_ano=2018&amp;peri_nr_mes=9&amp;peri_nr_ordem=1" TargetMode="External"/><Relationship Id="rId23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8" Type="http://schemas.openxmlformats.org/officeDocument/2006/relationships/hyperlink" Target="http://187.17.2.135/orse/composicao.asp?font_sg_fonte=ORSE&amp;serv_nr_codigo=9963&amp;peri_nr_ano=2018&amp;peri_nr_mes=9&amp;peri_nr_ordem=1" TargetMode="External"/><Relationship Id="rId36" Type="http://schemas.openxmlformats.org/officeDocument/2006/relationships/hyperlink" Target="http://187.17.2.135/orse/composicao.asp?font_sg_fonte=ORSE&amp;serv_nr_codigo=4421&amp;peri_nr_ano=2018&amp;peri_nr_mes=9&amp;peri_nr_ordem=1" TargetMode="External"/><Relationship Id="rId49" Type="http://schemas.openxmlformats.org/officeDocument/2006/relationships/hyperlink" Target="http://187.17.2.135/orse/composicao.asp?font_sg_fonte=SINAPI&amp;serv_nr_codigo=93662&amp;peri_nr_ano=2018&amp;peri_nr_mes=9&amp;peri_nr_ordem=1" TargetMode="External"/><Relationship Id="rId57" Type="http://schemas.openxmlformats.org/officeDocument/2006/relationships/hyperlink" Target="http://187.17.2.135/orse/composicao.asp?font_sg_fonte=ORSE&amp;serv_nr_codigo=1889&amp;peri_nr_ano=2018&amp;peri_nr_mes=9&amp;peri_nr_ordem=1" TargetMode="External"/><Relationship Id="rId10" Type="http://schemas.openxmlformats.org/officeDocument/2006/relationships/hyperlink" Target="http://187.17.2.135/orse/composicao.asp?font_sg_fonte=SINAPI&amp;serv_nr_codigo=87893&amp;peri_nr_ano=2018&amp;peri_nr_mes=9&amp;peri_nr_ordem=1" TargetMode="External"/><Relationship Id="rId19" Type="http://schemas.openxmlformats.org/officeDocument/2006/relationships/hyperlink" Target="http://187.17.2.135/orse/composicao.asp?font_sg_fonte=SINAPI&amp;serv_nr_codigo=41595&amp;peri_nr_ano=2018&amp;peri_nr_mes=9&amp;peri_nr_ordem=1" TargetMode="External"/><Relationship Id="rId31" Type="http://schemas.openxmlformats.org/officeDocument/2006/relationships/hyperlink" Target="http://187.17.2.135/orse/composicao.asp?font_sg_fonte=ORSE&amp;serv_nr_codigo=2060&amp;peri_nr_ano=2018&amp;peri_nr_mes=9&amp;peri_nr_ordem=1" TargetMode="External"/><Relationship Id="rId44" Type="http://schemas.openxmlformats.org/officeDocument/2006/relationships/hyperlink" Target="http://187.17.2.135/orse/composicao.asp?font_sg_fonte=ORSE&amp;serv_nr_codigo=9968&amp;peri_nr_ano=2018&amp;peri_nr_mes=9&amp;peri_nr_ordem=1" TargetMode="External"/><Relationship Id="rId52" Type="http://schemas.openxmlformats.org/officeDocument/2006/relationships/hyperlink" Target="http://187.17.2.135/orse/composicao.asp?font_sg_fonte=ORSE&amp;serv_nr_codigo=570&amp;peri_nr_ano=2018&amp;peri_nr_mes=9&amp;peri_nr_ordem=1" TargetMode="External"/><Relationship Id="rId4" Type="http://schemas.openxmlformats.org/officeDocument/2006/relationships/hyperlink" Target="http://187.17.2.135/orse/composicao.asp?font_sg_fonte=SINAPI&amp;serv_nr_codigo=739373&amp;peri_nr_ano=2018&amp;peri_nr_mes=9&amp;peri_nr_ordem=1" TargetMode="External"/><Relationship Id="rId9" Type="http://schemas.openxmlformats.org/officeDocument/2006/relationships/hyperlink" Target="http://187.17.2.135/orse/composicao.asp?font_sg_fonte=SINAPI&amp;serv_nr_codigo=91333&amp;peri_nr_ano=2018&amp;peri_nr_mes=9&amp;peri_nr_ordem=1" TargetMode="External"/><Relationship Id="rId14" Type="http://schemas.openxmlformats.org/officeDocument/2006/relationships/hyperlink" Target="http://187.17.2.135/orse/composicao.asp?font_sg_fonte=SINAPI&amp;serv_nr_codigo=89045&amp;peri_nr_ano=2018&amp;peri_nr_mes=9&amp;peri_nr_ordem=1" TargetMode="External"/><Relationship Id="rId22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7" Type="http://schemas.openxmlformats.org/officeDocument/2006/relationships/hyperlink" Target="http://187.17.2.135/orse/composicao.asp?font_sg_fonte=SINAPI&amp;serv_nr_codigo=86884&amp;peri_nr_ano=2018&amp;peri_nr_mes=9&amp;peri_nr_ordem=1" TargetMode="External"/><Relationship Id="rId30" Type="http://schemas.openxmlformats.org/officeDocument/2006/relationships/hyperlink" Target="http://187.17.2.135/orse/composicao.asp?font_sg_fonte=ORSE&amp;serv_nr_codigo=4281&amp;peri_nr_ano=2018&amp;peri_nr_mes=9&amp;peri_nr_ordem=1" TargetMode="External"/><Relationship Id="rId35" Type="http://schemas.openxmlformats.org/officeDocument/2006/relationships/hyperlink" Target="http://187.17.2.135/orse/composicao.asp?font_sg_fonte=ORSE&amp;serv_nr_codigo=7752&amp;peri_nr_ano=2018&amp;peri_nr_mes=9&amp;peri_nr_ordem=1" TargetMode="External"/><Relationship Id="rId43" Type="http://schemas.openxmlformats.org/officeDocument/2006/relationships/hyperlink" Target="http://187.17.2.135/orse/composicao.asp?font_sg_fonte=ORSE&amp;serv_nr_codigo=3801&amp;peri_nr_ano=2018&amp;peri_nr_mes=9&amp;peri_nr_ordem=1" TargetMode="External"/><Relationship Id="rId48" Type="http://schemas.openxmlformats.org/officeDocument/2006/relationships/hyperlink" Target="http://187.17.2.135/orse/composicao.asp?font_sg_fonte=SINAPI&amp;serv_nr_codigo=93653&amp;peri_nr_ano=2018&amp;peri_nr_mes=9&amp;peri_nr_ordem=1" TargetMode="External"/><Relationship Id="rId56" Type="http://schemas.openxmlformats.org/officeDocument/2006/relationships/hyperlink" Target="http://187.17.2.135/orse/composicao.asp?font_sg_fonte=ORSE&amp;serv_nr_codigo=8492&amp;peri_nr_ano=2018&amp;peri_nr_mes=9&amp;peri_nr_ordem=1" TargetMode="External"/><Relationship Id="rId8" Type="http://schemas.openxmlformats.org/officeDocument/2006/relationships/hyperlink" Target="http://187.17.2.135/orse/composicao.asp?font_sg_fonte=SINAPI&amp;serv_nr_codigo=91332&amp;peri_nr_ano=2018&amp;peri_nr_mes=9&amp;peri_nr_ordem=1" TargetMode="External"/><Relationship Id="rId51" Type="http://schemas.openxmlformats.org/officeDocument/2006/relationships/hyperlink" Target="http://187.17.2.135/orse/composicao.asp?font_sg_fonte=ORSE&amp;serv_nr_codigo=3954&amp;peri_nr_ano=2018&amp;peri_nr_mes=9&amp;peri_nr_ordem=1" TargetMode="External"/><Relationship Id="rId3" Type="http://schemas.openxmlformats.org/officeDocument/2006/relationships/hyperlink" Target="http://187.17.2.135/orse/composicao.asp?font_sg_fonte=ORSE&amp;serv_nr_codigo=154&amp;peri_nr_ano=2018&amp;peri_nr_mes=9&amp;peri_nr_ordem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F417"/>
  <sheetViews>
    <sheetView view="pageBreakPreview" topLeftCell="S1" zoomScaleSheetLayoutView="100" workbookViewId="0">
      <pane ySplit="25" topLeftCell="A26" activePane="bottomLeft" state="frozen"/>
      <selection pane="bottomLeft" activeCell="AA28" sqref="AA28"/>
    </sheetView>
  </sheetViews>
  <sheetFormatPr defaultColWidth="9.140625"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34" width="9.140625" style="83" customWidth="1"/>
    <col min="35" max="16384" width="9.140625" style="83"/>
  </cols>
  <sheetData>
    <row r="1" spans="1:32" ht="81.75" hidden="1" customHeight="1">
      <c r="A1" s="210" t="s">
        <v>396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462" t="s">
        <v>370</v>
      </c>
      <c r="B2" s="462"/>
      <c r="C2" s="462"/>
      <c r="D2" s="462"/>
      <c r="E2" s="462"/>
      <c r="F2" s="158"/>
      <c r="G2" s="144"/>
      <c r="H2" s="19" t="s">
        <v>371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372</v>
      </c>
      <c r="X2" s="478" t="s">
        <v>373</v>
      </c>
      <c r="Y2" s="478"/>
      <c r="Z2" s="473"/>
      <c r="AA2" s="473" t="s">
        <v>374</v>
      </c>
      <c r="AB2" s="473"/>
    </row>
    <row r="3" spans="1:32" ht="21" hidden="1" customHeight="1">
      <c r="A3" s="484" t="s">
        <v>363</v>
      </c>
      <c r="B3" s="484"/>
      <c r="C3" s="484"/>
      <c r="D3" s="484"/>
      <c r="E3" s="484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479" t="s">
        <v>436</v>
      </c>
      <c r="Y3" s="479"/>
      <c r="Z3" s="472"/>
      <c r="AA3" s="472">
        <v>42718</v>
      </c>
      <c r="AB3" s="472"/>
    </row>
    <row r="4" spans="1:32" ht="19.5" hidden="1" customHeight="1">
      <c r="A4" s="462" t="s">
        <v>375</v>
      </c>
      <c r="B4" s="462"/>
      <c r="C4" s="462"/>
      <c r="D4" s="462"/>
      <c r="E4" s="462"/>
      <c r="F4" s="158"/>
      <c r="G4" s="144"/>
      <c r="H4" s="19" t="s">
        <v>376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377</v>
      </c>
      <c r="X4" s="480" t="s">
        <v>378</v>
      </c>
      <c r="Y4" s="481"/>
      <c r="Z4" s="482"/>
      <c r="AA4" s="473" t="s">
        <v>379</v>
      </c>
      <c r="AB4" s="473"/>
      <c r="AC4" s="25"/>
    </row>
    <row r="5" spans="1:32" ht="19.5" hidden="1" customHeight="1">
      <c r="A5" s="484" t="s">
        <v>398</v>
      </c>
      <c r="B5" s="484"/>
      <c r="C5" s="484"/>
      <c r="D5" s="484"/>
      <c r="E5" s="484"/>
      <c r="F5" s="159"/>
      <c r="G5" s="150"/>
      <c r="H5" s="21" t="s">
        <v>395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465">
        <v>43135</v>
      </c>
      <c r="Y5" s="466"/>
      <c r="Z5" s="467"/>
      <c r="AA5" s="472" t="s">
        <v>393</v>
      </c>
      <c r="AB5" s="472"/>
      <c r="AC5" s="26"/>
      <c r="AD5" s="26"/>
      <c r="AE5" s="26"/>
      <c r="AF5" s="26"/>
    </row>
    <row r="6" spans="1:32" ht="19.5" hidden="1" customHeight="1">
      <c r="A6" s="462" t="s">
        <v>380</v>
      </c>
      <c r="B6" s="462"/>
      <c r="C6" s="462"/>
      <c r="D6" s="462"/>
      <c r="E6" s="462"/>
      <c r="F6" s="158"/>
      <c r="G6" s="144"/>
      <c r="H6" s="474" t="s">
        <v>381</v>
      </c>
      <c r="I6" s="475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7"/>
      <c r="X6" s="477"/>
      <c r="Y6" s="477"/>
      <c r="Z6" s="474"/>
      <c r="AA6" s="473" t="s">
        <v>382</v>
      </c>
      <c r="AB6" s="473"/>
      <c r="AC6" s="26"/>
      <c r="AD6" s="26"/>
      <c r="AE6" s="26"/>
      <c r="AF6" s="26"/>
    </row>
    <row r="7" spans="1:32" ht="29.25" hidden="1" customHeight="1">
      <c r="A7" s="463" t="s">
        <v>397</v>
      </c>
      <c r="B7" s="463"/>
      <c r="C7" s="463"/>
      <c r="D7" s="463"/>
      <c r="E7" s="463"/>
      <c r="F7" s="160"/>
      <c r="G7" s="145"/>
      <c r="H7" s="468" t="s">
        <v>383</v>
      </c>
      <c r="I7" s="469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1"/>
      <c r="X7" s="471"/>
      <c r="Y7" s="471"/>
      <c r="Z7" s="468"/>
      <c r="AA7" s="464">
        <v>550194.43999999994</v>
      </c>
      <c r="AB7" s="464"/>
      <c r="AC7" s="26"/>
      <c r="AD7" s="26"/>
      <c r="AE7" s="26"/>
      <c r="AF7" s="26"/>
    </row>
    <row r="8" spans="1:32" ht="30" hidden="1" customHeight="1">
      <c r="A8" s="495" t="s">
        <v>394</v>
      </c>
      <c r="B8" s="495"/>
      <c r="C8" s="495"/>
      <c r="D8" s="496"/>
      <c r="E8" s="496"/>
      <c r="F8" s="497"/>
      <c r="G8" s="496"/>
      <c r="H8" s="496"/>
      <c r="I8" s="498"/>
      <c r="J8" s="499"/>
      <c r="K8" s="499"/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  <c r="W8" s="500"/>
      <c r="X8" s="500"/>
      <c r="Y8" s="500"/>
      <c r="Z8" s="496"/>
      <c r="AA8" s="464" t="e">
        <f>AA233</f>
        <v>#REF!</v>
      </c>
      <c r="AB8" s="464"/>
      <c r="AC8" s="26"/>
      <c r="AD8" s="26"/>
      <c r="AE8" s="26"/>
      <c r="AF8" s="26"/>
    </row>
    <row r="9" spans="1:32" hidden="1">
      <c r="A9" s="485" t="s">
        <v>363</v>
      </c>
      <c r="B9" s="486"/>
      <c r="C9" s="486"/>
      <c r="D9" s="487"/>
      <c r="E9" s="487"/>
      <c r="F9" s="486"/>
      <c r="G9" s="487"/>
      <c r="H9" s="487"/>
      <c r="I9" s="486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idden="1">
      <c r="A10" s="485"/>
      <c r="B10" s="486"/>
      <c r="C10" s="486"/>
      <c r="D10" s="487"/>
      <c r="E10" s="487"/>
      <c r="F10" s="486"/>
      <c r="G10" s="487"/>
      <c r="H10" s="487"/>
      <c r="I10" s="486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idden="1">
      <c r="A11" s="485"/>
      <c r="B11" s="486"/>
      <c r="C11" s="486"/>
      <c r="D11" s="487"/>
      <c r="E11" s="487"/>
      <c r="F11" s="486"/>
      <c r="G11" s="487"/>
      <c r="H11" s="487"/>
      <c r="I11" s="486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488" t="s">
        <v>531</v>
      </c>
      <c r="B12" s="489"/>
      <c r="C12" s="489"/>
      <c r="D12" s="487"/>
      <c r="E12" s="487"/>
      <c r="F12" s="489"/>
      <c r="G12" s="487"/>
      <c r="H12" s="487"/>
      <c r="I12" s="489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488" t="s">
        <v>532</v>
      </c>
      <c r="B13" s="489"/>
      <c r="C13" s="489"/>
      <c r="D13" s="487"/>
      <c r="E13" s="487"/>
      <c r="F13" s="489"/>
      <c r="G13" s="487"/>
      <c r="H13" s="487"/>
      <c r="I13" s="489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488" t="s">
        <v>533</v>
      </c>
      <c r="B14" s="489"/>
      <c r="C14" s="489"/>
      <c r="D14" s="487"/>
      <c r="E14" s="487"/>
      <c r="F14" s="489"/>
      <c r="G14" s="487"/>
      <c r="H14" s="487"/>
      <c r="I14" s="489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7"/>
      <c r="B15" s="227"/>
      <c r="C15" s="227"/>
      <c r="D15" s="226"/>
      <c r="E15" s="226"/>
      <c r="F15" s="227"/>
      <c r="G15" s="226"/>
      <c r="H15" s="226"/>
      <c r="I15" s="227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7"/>
      <c r="B16" s="227"/>
      <c r="C16" s="227"/>
      <c r="D16" s="226"/>
      <c r="E16" s="226"/>
      <c r="F16" s="227"/>
      <c r="G16" s="226"/>
      <c r="H16" s="226"/>
      <c r="I16" s="227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7"/>
      <c r="B17" s="227"/>
      <c r="C17" s="227"/>
      <c r="D17" s="226"/>
      <c r="E17" s="226"/>
      <c r="F17" s="227"/>
      <c r="G17" s="226"/>
      <c r="H17" s="226"/>
      <c r="I17" s="227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7"/>
      <c r="B18" s="227"/>
      <c r="C18" s="227"/>
      <c r="D18" s="226"/>
      <c r="E18" s="226"/>
      <c r="F18" s="227"/>
      <c r="G18" s="226"/>
      <c r="H18" s="226"/>
      <c r="I18" s="227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7"/>
      <c r="B19" s="227"/>
      <c r="C19" s="227"/>
      <c r="D19" s="226"/>
      <c r="E19" s="226"/>
      <c r="F19" s="227"/>
      <c r="G19" s="226"/>
      <c r="H19" s="226"/>
      <c r="I19" s="227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7"/>
      <c r="B20" s="227"/>
      <c r="C20" s="227"/>
      <c r="D20" s="226"/>
      <c r="E20" s="226"/>
      <c r="F20" s="227"/>
      <c r="G20" s="226"/>
      <c r="H20" s="226"/>
      <c r="I20" s="227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7"/>
      <c r="B21" s="227"/>
      <c r="C21" s="227"/>
      <c r="D21" s="226"/>
      <c r="E21" s="226"/>
      <c r="F21" s="227"/>
      <c r="G21" s="226"/>
      <c r="H21" s="226"/>
      <c r="I21" s="227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490" t="s">
        <v>534</v>
      </c>
      <c r="B22" s="491"/>
      <c r="C22" s="492"/>
      <c r="D22" s="493"/>
      <c r="E22" s="493"/>
      <c r="F22" s="494"/>
      <c r="G22" s="493"/>
      <c r="H22" s="493"/>
      <c r="I22" s="492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529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501" t="s">
        <v>0</v>
      </c>
      <c r="B24" s="501" t="s">
        <v>1</v>
      </c>
      <c r="C24" s="501" t="s">
        <v>387</v>
      </c>
      <c r="D24" s="502"/>
      <c r="E24" s="502"/>
      <c r="F24" s="503"/>
      <c r="G24" s="502"/>
      <c r="H24" s="502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504" t="s">
        <v>391</v>
      </c>
      <c r="X24" s="505"/>
      <c r="Y24" s="506"/>
      <c r="Z24" s="502" t="s">
        <v>390</v>
      </c>
      <c r="AA24" s="502"/>
      <c r="AB24" s="502"/>
    </row>
    <row r="25" spans="1:32" ht="36.75" customHeight="1">
      <c r="A25" s="502"/>
      <c r="B25" s="502"/>
      <c r="C25" s="52" t="s">
        <v>2</v>
      </c>
      <c r="D25" s="149" t="s">
        <v>3</v>
      </c>
      <c r="E25" s="166" t="s">
        <v>384</v>
      </c>
      <c r="F25" s="30" t="s">
        <v>530</v>
      </c>
      <c r="G25" s="166" t="s">
        <v>467</v>
      </c>
      <c r="H25" s="166" t="s">
        <v>4</v>
      </c>
      <c r="I25" s="50" t="s">
        <v>439</v>
      </c>
      <c r="J25" s="30" t="s">
        <v>400</v>
      </c>
      <c r="K25" s="30" t="s">
        <v>401</v>
      </c>
      <c r="L25" s="30" t="s">
        <v>402</v>
      </c>
      <c r="M25" s="30" t="s">
        <v>403</v>
      </c>
      <c r="N25" s="30" t="s">
        <v>416</v>
      </c>
      <c r="O25" s="30" t="s">
        <v>430</v>
      </c>
      <c r="P25" s="30" t="s">
        <v>433</v>
      </c>
      <c r="Q25" s="143" t="s">
        <v>434</v>
      </c>
      <c r="R25" s="30" t="s">
        <v>435</v>
      </c>
      <c r="S25" s="100" t="s">
        <v>537</v>
      </c>
      <c r="T25" s="220" t="s">
        <v>494</v>
      </c>
      <c r="U25" s="220" t="s">
        <v>535</v>
      </c>
      <c r="V25" s="220" t="s">
        <v>536</v>
      </c>
      <c r="W25" s="29" t="s">
        <v>392</v>
      </c>
      <c r="X25" s="29" t="s">
        <v>385</v>
      </c>
      <c r="Y25" s="29" t="s">
        <v>386</v>
      </c>
      <c r="Z25" s="50" t="s">
        <v>388</v>
      </c>
      <c r="AA25" s="30" t="s">
        <v>385</v>
      </c>
      <c r="AB25" s="52" t="s">
        <v>389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6</v>
      </c>
      <c r="B28" s="38" t="s">
        <v>7</v>
      </c>
      <c r="C28" s="61" t="s">
        <v>8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438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>W28+X28</f>
        <v>0</v>
      </c>
      <c r="Z28" s="96">
        <f t="shared" ref="Z28:Z34" si="5">(J28+K28+L28+M28)*E28</f>
        <v>0</v>
      </c>
      <c r="AA28" s="96">
        <f t="shared" ref="AA28:AA34" si="6">Q28*E28</f>
        <v>0</v>
      </c>
      <c r="AB28" s="96">
        <f t="shared" ref="AB28:AB34" si="7">(J28+K28+L28+M28+N28)*E28</f>
        <v>0</v>
      </c>
      <c r="AC28" s="5"/>
    </row>
    <row r="29" spans="1:32" s="87" customFormat="1">
      <c r="A29" s="37" t="s">
        <v>9</v>
      </c>
      <c r="B29" s="38" t="s">
        <v>10</v>
      </c>
      <c r="C29" s="61" t="s">
        <v>8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440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8">IF(D29=0,0,S29/D29)</f>
        <v>0</v>
      </c>
      <c r="Y29" s="43">
        <f>W29+X29</f>
        <v>0</v>
      </c>
      <c r="Z29" s="96">
        <f t="shared" si="5"/>
        <v>0</v>
      </c>
      <c r="AA29" s="96">
        <f t="shared" si="6"/>
        <v>0</v>
      </c>
      <c r="AB29" s="96">
        <f t="shared" si="7"/>
        <v>0</v>
      </c>
      <c r="AC29" s="5"/>
    </row>
    <row r="30" spans="1:32" s="87" customFormat="1">
      <c r="A30" s="37" t="s">
        <v>11</v>
      </c>
      <c r="B30" s="38" t="s">
        <v>12</v>
      </c>
      <c r="C30" s="61" t="s">
        <v>8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441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8"/>
        <v>0</v>
      </c>
      <c r="Y30" s="43">
        <f t="shared" ref="Y30:Y34" si="9">W30+X30</f>
        <v>0</v>
      </c>
      <c r="Z30" s="96">
        <f t="shared" si="5"/>
        <v>0</v>
      </c>
      <c r="AA30" s="96">
        <f t="shared" si="6"/>
        <v>0</v>
      </c>
      <c r="AB30" s="96">
        <f t="shared" si="7"/>
        <v>0</v>
      </c>
      <c r="AC30" s="5"/>
    </row>
    <row r="31" spans="1:32" s="87" customFormat="1">
      <c r="A31" s="37" t="s">
        <v>13</v>
      </c>
      <c r="B31" s="38" t="s">
        <v>14</v>
      </c>
      <c r="C31" s="61" t="s">
        <v>15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442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8"/>
        <v>0</v>
      </c>
      <c r="Y31" s="43">
        <f t="shared" si="9"/>
        <v>0</v>
      </c>
      <c r="Z31" s="96">
        <f t="shared" si="5"/>
        <v>0</v>
      </c>
      <c r="AA31" s="96">
        <f t="shared" si="6"/>
        <v>0</v>
      </c>
      <c r="AB31" s="96">
        <f t="shared" si="7"/>
        <v>0</v>
      </c>
      <c r="AC31" s="5"/>
    </row>
    <row r="32" spans="1:32" s="87" customFormat="1">
      <c r="A32" s="37" t="s">
        <v>16</v>
      </c>
      <c r="B32" s="38" t="s">
        <v>17</v>
      </c>
      <c r="C32" s="61" t="s">
        <v>15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443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8"/>
        <v>0</v>
      </c>
      <c r="Y32" s="43">
        <f t="shared" si="9"/>
        <v>0</v>
      </c>
      <c r="Z32" s="96">
        <f t="shared" si="5"/>
        <v>0</v>
      </c>
      <c r="AA32" s="96">
        <f t="shared" si="6"/>
        <v>0</v>
      </c>
      <c r="AB32" s="96">
        <f t="shared" si="7"/>
        <v>0</v>
      </c>
      <c r="AC32" s="5"/>
    </row>
    <row r="33" spans="1:29" s="87" customFormat="1">
      <c r="A33" s="37" t="s">
        <v>18</v>
      </c>
      <c r="B33" s="38" t="s">
        <v>19</v>
      </c>
      <c r="C33" s="61" t="s">
        <v>15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444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8"/>
        <v>0</v>
      </c>
      <c r="Y33" s="43">
        <f t="shared" si="9"/>
        <v>0</v>
      </c>
      <c r="Z33" s="96">
        <f t="shared" si="5"/>
        <v>0</v>
      </c>
      <c r="AA33" s="96">
        <f t="shared" si="6"/>
        <v>0</v>
      </c>
      <c r="AB33" s="96">
        <f t="shared" si="7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8"/>
        <v>0</v>
      </c>
      <c r="Y34" s="43">
        <f t="shared" si="9"/>
        <v>0</v>
      </c>
      <c r="Z34" s="96">
        <f t="shared" si="5"/>
        <v>0</v>
      </c>
      <c r="AA34" s="96">
        <f t="shared" si="6"/>
        <v>0</v>
      </c>
      <c r="AB34" s="96">
        <f t="shared" si="7"/>
        <v>0</v>
      </c>
    </row>
    <row r="35" spans="1:29" s="88" customFormat="1">
      <c r="A35" s="53">
        <v>2</v>
      </c>
      <c r="B35" s="31" t="s">
        <v>20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21</v>
      </c>
      <c r="B36" s="188" t="s">
        <v>22</v>
      </c>
      <c r="C36" s="189" t="s">
        <v>23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445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24</v>
      </c>
      <c r="B37" s="38" t="s">
        <v>25</v>
      </c>
      <c r="C37" s="37" t="s">
        <v>23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446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>SUM(J37:S37)</f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26</v>
      </c>
      <c r="B38" s="193" t="s">
        <v>27</v>
      </c>
      <c r="C38" s="194" t="s">
        <v>23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447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ref="T38:T41" si="14">SUM(J38:S38)</f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28</v>
      </c>
      <c r="B39" s="38" t="s">
        <v>29</v>
      </c>
      <c r="C39" s="61" t="s">
        <v>23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4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30</v>
      </c>
      <c r="B40" s="38" t="s">
        <v>31</v>
      </c>
      <c r="C40" s="61" t="s">
        <v>23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448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4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4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32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33</v>
      </c>
      <c r="B43" s="31" t="s">
        <v>34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35</v>
      </c>
      <c r="B44" s="38" t="s">
        <v>36</v>
      </c>
      <c r="C44" s="61" t="s">
        <v>8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449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 t="shared" ref="T44:T47" si="15"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 t="shared" ref="X44:X47" si="16">IF(D44=0,0,S44/D44)</f>
        <v>0</v>
      </c>
      <c r="Y44" s="43">
        <f t="shared" ref="Y44:Y46" si="17"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37</v>
      </c>
      <c r="B45" s="38" t="s">
        <v>38</v>
      </c>
      <c r="C45" s="61" t="s">
        <v>8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450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 t="shared" si="15"/>
        <v>0</v>
      </c>
      <c r="U45" s="65">
        <f>D45-T45</f>
        <v>0</v>
      </c>
      <c r="V45" s="65">
        <f>U45*E45</f>
        <v>0</v>
      </c>
      <c r="W45" s="42">
        <v>0</v>
      </c>
      <c r="X45" s="42">
        <f t="shared" si="16"/>
        <v>0</v>
      </c>
      <c r="Y45" s="43">
        <f t="shared" si="17"/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39</v>
      </c>
      <c r="B46" s="38" t="s">
        <v>40</v>
      </c>
      <c r="C46" s="61" t="s">
        <v>23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451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 t="shared" si="15"/>
        <v>0</v>
      </c>
      <c r="U46" s="65">
        <f>D46-T46</f>
        <v>0</v>
      </c>
      <c r="V46" s="65">
        <f>U46*E46</f>
        <v>0</v>
      </c>
      <c r="W46" s="42">
        <v>0</v>
      </c>
      <c r="X46" s="42">
        <f t="shared" si="16"/>
        <v>0</v>
      </c>
      <c r="Y46" s="43">
        <f t="shared" si="17"/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 t="shared" si="15"/>
        <v>0</v>
      </c>
      <c r="U47" s="65"/>
      <c r="V47" s="65">
        <f>U47*E47</f>
        <v>0</v>
      </c>
      <c r="W47" s="42">
        <v>0</v>
      </c>
      <c r="X47" s="42">
        <f t="shared" si="16"/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41</v>
      </c>
      <c r="B48" s="70" t="s">
        <v>42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43</v>
      </c>
      <c r="B49" s="38" t="s">
        <v>38</v>
      </c>
      <c r="C49" s="61" t="s">
        <v>8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450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 t="shared" ref="T49:T52" si="18"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 t="shared" ref="X49:X52" si="19">IF(D49=0,0,S49/D49)</f>
        <v>0</v>
      </c>
      <c r="Y49" s="43">
        <f t="shared" ref="Y49:Y52" si="20"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44</v>
      </c>
      <c r="B50" s="38" t="s">
        <v>40</v>
      </c>
      <c r="C50" s="61" t="s">
        <v>23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451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 t="shared" si="18"/>
        <v>0</v>
      </c>
      <c r="U50" s="65">
        <f>D50-T50</f>
        <v>0</v>
      </c>
      <c r="V50" s="65">
        <f>U50*E50</f>
        <v>0</v>
      </c>
      <c r="W50" s="42">
        <v>0</v>
      </c>
      <c r="X50" s="42">
        <f t="shared" si="19"/>
        <v>0</v>
      </c>
      <c r="Y50" s="43">
        <f t="shared" si="20"/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45</v>
      </c>
      <c r="B51" s="38" t="s">
        <v>46</v>
      </c>
      <c r="C51" s="61" t="s">
        <v>8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452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 t="shared" si="18"/>
        <v>0</v>
      </c>
      <c r="U51" s="65">
        <f>D51-T51</f>
        <v>0</v>
      </c>
      <c r="V51" s="65">
        <f>U51*E51</f>
        <v>0</v>
      </c>
      <c r="W51" s="42">
        <v>0</v>
      </c>
      <c r="X51" s="42">
        <f t="shared" si="19"/>
        <v>0</v>
      </c>
      <c r="Y51" s="43">
        <f t="shared" si="20"/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 t="shared" si="18"/>
        <v>0</v>
      </c>
      <c r="U52" s="65"/>
      <c r="V52" s="65">
        <f>U52*E52</f>
        <v>0</v>
      </c>
      <c r="W52" s="42">
        <v>0</v>
      </c>
      <c r="X52" s="42">
        <f t="shared" si="19"/>
        <v>0</v>
      </c>
      <c r="Y52" s="43">
        <f t="shared" si="20"/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47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48</v>
      </c>
      <c r="B54" s="70" t="s">
        <v>49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50</v>
      </c>
      <c r="B55" s="38" t="s">
        <v>38</v>
      </c>
      <c r="C55" s="61" t="s">
        <v>8</v>
      </c>
      <c r="D55" s="62">
        <v>21.146999999999991</v>
      </c>
      <c r="E55" s="63">
        <v>49.34</v>
      </c>
      <c r="F55" s="39">
        <f t="shared" ref="F55:F56" si="21">U55</f>
        <v>0.46699999999999164</v>
      </c>
      <c r="G55" s="63">
        <v>40.11</v>
      </c>
      <c r="H55" s="64">
        <f>ROUND(D55*E55,2)</f>
        <v>1043.3900000000001</v>
      </c>
      <c r="I55" s="155" t="s">
        <v>468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 t="shared" ref="T55:T57" si="22">SUM(J55:S55)</f>
        <v>20.68</v>
      </c>
      <c r="U55" s="65">
        <f>D55-T55</f>
        <v>0.46699999999999164</v>
      </c>
      <c r="V55" s="65">
        <f>U55*E55</f>
        <v>23.041779999999591</v>
      </c>
      <c r="W55" s="42">
        <f t="shared" ref="W55:W56" si="23">(SUM(J55:R55))/D55</f>
        <v>0.97791648933654929</v>
      </c>
      <c r="X55" s="42">
        <f t="shared" ref="X55:X57" si="24"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 t="shared" ref="AA55" si="25"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51</v>
      </c>
      <c r="B56" s="38" t="s">
        <v>40</v>
      </c>
      <c r="C56" s="61" t="s">
        <v>23</v>
      </c>
      <c r="D56" s="62">
        <v>2.0519999999999996</v>
      </c>
      <c r="E56" s="63">
        <v>1623.61</v>
      </c>
      <c r="F56" s="39" t="e">
        <f t="shared" si="21"/>
        <v>#REF!</v>
      </c>
      <c r="G56" s="63">
        <v>1320.01</v>
      </c>
      <c r="H56" s="64">
        <f>ROUND(D56*E56,2)</f>
        <v>3331.65</v>
      </c>
      <c r="I56" s="155" t="s">
        <v>469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 t="shared" si="22"/>
        <v>#REF!</v>
      </c>
      <c r="U56" s="65" t="e">
        <f>D56-T56</f>
        <v>#REF!</v>
      </c>
      <c r="V56" s="65" t="e">
        <f>U56*E56</f>
        <v>#REF!</v>
      </c>
      <c r="W56" s="42">
        <f t="shared" si="23"/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 t="shared" si="22"/>
        <v>0</v>
      </c>
      <c r="U57" s="65"/>
      <c r="V57" s="65">
        <f>U57*E57</f>
        <v>0</v>
      </c>
      <c r="W57" s="42">
        <v>0</v>
      </c>
      <c r="X57" s="42">
        <f t="shared" si="24"/>
        <v>0</v>
      </c>
      <c r="Y57" s="43">
        <f t="shared" ref="Y57" si="26"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52</v>
      </c>
      <c r="B58" s="70" t="s">
        <v>53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54</v>
      </c>
      <c r="B59" s="38" t="s">
        <v>38</v>
      </c>
      <c r="C59" s="61" t="s">
        <v>8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 t="shared" ref="T59:T61" si="27">SUM(J59:S59)</f>
        <v>55</v>
      </c>
      <c r="U59" s="65">
        <f>D59-T59</f>
        <v>0</v>
      </c>
      <c r="V59" s="65">
        <f>U59*E59</f>
        <v>0</v>
      </c>
      <c r="W59" s="42">
        <f t="shared" ref="W59:W60" si="28">(SUM(J59:R59))/D59</f>
        <v>1</v>
      </c>
      <c r="X59" s="42">
        <f t="shared" ref="X59:X61" si="29">IF(D59=0,0,S59/D59)</f>
        <v>0</v>
      </c>
      <c r="Y59" s="43">
        <f t="shared" ref="Y59:Y61" si="30"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55</v>
      </c>
      <c r="B60" s="38" t="s">
        <v>40</v>
      </c>
      <c r="C60" s="61" t="s">
        <v>23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 t="shared" si="27"/>
        <v>5.25</v>
      </c>
      <c r="U60" s="65">
        <f>D60-T60</f>
        <v>0</v>
      </c>
      <c r="V60" s="65">
        <f>U60*E60</f>
        <v>0</v>
      </c>
      <c r="W60" s="42">
        <f t="shared" si="28"/>
        <v>1</v>
      </c>
      <c r="X60" s="42">
        <f t="shared" si="29"/>
        <v>0</v>
      </c>
      <c r="Y60" s="43">
        <f t="shared" si="30"/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 t="shared" si="27"/>
        <v>0</v>
      </c>
      <c r="U61" s="65"/>
      <c r="V61" s="65">
        <f>U61*E61</f>
        <v>0</v>
      </c>
      <c r="W61" s="42">
        <v>0</v>
      </c>
      <c r="X61" s="42">
        <f t="shared" si="29"/>
        <v>0</v>
      </c>
      <c r="Y61" s="43">
        <f t="shared" si="30"/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56</v>
      </c>
      <c r="B62" s="44" t="s">
        <v>57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58</v>
      </c>
      <c r="B63" s="38" t="s">
        <v>59</v>
      </c>
      <c r="C63" s="37" t="s">
        <v>8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470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 t="shared" ref="T63:T64" si="31">SUM(J63:S63)</f>
        <v>88.6</v>
      </c>
      <c r="U63" s="65">
        <f>D63-T63</f>
        <v>0</v>
      </c>
      <c r="V63" s="65">
        <f>U63*E63</f>
        <v>0</v>
      </c>
      <c r="W63" s="42">
        <f t="shared" ref="W63" si="32">(SUM(J63:R63))/D63</f>
        <v>1</v>
      </c>
      <c r="X63" s="42">
        <f t="shared" ref="X63:X64" si="33">IF(D63=0,0,S63/D63)</f>
        <v>0</v>
      </c>
      <c r="Y63" s="43">
        <f t="shared" ref="Y63:Y64" si="34"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 t="shared" si="31"/>
        <v>0</v>
      </c>
      <c r="U64" s="65"/>
      <c r="V64" s="65">
        <f>U64*E64</f>
        <v>0</v>
      </c>
      <c r="W64" s="42">
        <v>0</v>
      </c>
      <c r="X64" s="42">
        <f t="shared" si="33"/>
        <v>0</v>
      </c>
      <c r="Y64" s="43">
        <f t="shared" si="34"/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60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61</v>
      </c>
      <c r="B66" s="38" t="s">
        <v>62</v>
      </c>
      <c r="C66" s="37" t="s">
        <v>8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471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35">SUM(J66:S66)</f>
        <v>88.60250000000002</v>
      </c>
      <c r="U66" s="65">
        <f>D66-T66</f>
        <v>48.4315</v>
      </c>
      <c r="V66" s="65">
        <f t="shared" ref="V66:V71" si="36">U66*E66</f>
        <v>2414.3102750000003</v>
      </c>
      <c r="W66" s="42">
        <f t="shared" ref="W66:W70" si="37">(SUM(J66:R66))/D66</f>
        <v>0.6465731132419692</v>
      </c>
      <c r="X66" s="42">
        <f t="shared" ref="X66:X71" si="38">IF(D66=0,0,S66/D66)</f>
        <v>0</v>
      </c>
      <c r="Y66" s="43">
        <f t="shared" ref="Y66:Y71" si="39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63</v>
      </c>
      <c r="B67" s="188" t="s">
        <v>64</v>
      </c>
      <c r="C67" s="189" t="s">
        <v>8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35"/>
        <v>183</v>
      </c>
      <c r="U67" s="65">
        <f>D67-T67</f>
        <v>0</v>
      </c>
      <c r="V67" s="65">
        <f t="shared" si="36"/>
        <v>0</v>
      </c>
      <c r="W67" s="42">
        <f t="shared" si="37"/>
        <v>1</v>
      </c>
      <c r="X67" s="42">
        <f t="shared" si="38"/>
        <v>0</v>
      </c>
      <c r="Y67" s="43">
        <f t="shared" si="39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65</v>
      </c>
      <c r="B68" s="38" t="s">
        <v>66</v>
      </c>
      <c r="C68" s="61" t="s">
        <v>8</v>
      </c>
      <c r="D68" s="62">
        <v>28</v>
      </c>
      <c r="E68" s="63">
        <v>54.23</v>
      </c>
      <c r="F68" s="39">
        <f t="shared" ref="F68:F70" si="40">U68</f>
        <v>28</v>
      </c>
      <c r="G68" s="63">
        <v>44.09</v>
      </c>
      <c r="H68" s="64">
        <f>ROUND(D68*E68,2)</f>
        <v>1518.44</v>
      </c>
      <c r="I68" s="208" t="s">
        <v>472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35"/>
        <v>0</v>
      </c>
      <c r="U68" s="65">
        <f>D68-T68</f>
        <v>28</v>
      </c>
      <c r="V68" s="65">
        <f t="shared" si="36"/>
        <v>1518.4399999999998</v>
      </c>
      <c r="W68" s="42">
        <f t="shared" si="37"/>
        <v>0</v>
      </c>
      <c r="X68" s="42">
        <f t="shared" si="38"/>
        <v>0</v>
      </c>
      <c r="Y68" s="43">
        <f t="shared" si="39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67</v>
      </c>
      <c r="B69" s="38" t="s">
        <v>473</v>
      </c>
      <c r="C69" s="37" t="s">
        <v>8</v>
      </c>
      <c r="D69" s="39">
        <v>6</v>
      </c>
      <c r="E69" s="40">
        <v>123.59</v>
      </c>
      <c r="F69" s="39">
        <f t="shared" si="40"/>
        <v>0</v>
      </c>
      <c r="G69" s="40">
        <v>100.48</v>
      </c>
      <c r="H69" s="41">
        <f>ROUND(D69*E69,2)</f>
        <v>741.54</v>
      </c>
      <c r="I69" s="208" t="s">
        <v>475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35"/>
        <v>6.0000000000000009</v>
      </c>
      <c r="U69" s="65">
        <f>D69-T69</f>
        <v>0</v>
      </c>
      <c r="V69" s="65">
        <f t="shared" si="36"/>
        <v>0</v>
      </c>
      <c r="W69" s="42">
        <f t="shared" si="37"/>
        <v>0.96666666666666679</v>
      </c>
      <c r="X69" s="42">
        <f t="shared" si="38"/>
        <v>3.3333333333333333E-2</v>
      </c>
      <c r="Y69" s="43">
        <f t="shared" si="39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68</v>
      </c>
      <c r="B70" s="38" t="s">
        <v>69</v>
      </c>
      <c r="C70" s="37" t="s">
        <v>8</v>
      </c>
      <c r="D70" s="39">
        <v>148.1</v>
      </c>
      <c r="E70" s="40">
        <v>123.59</v>
      </c>
      <c r="F70" s="39" t="e">
        <f t="shared" si="40"/>
        <v>#REF!</v>
      </c>
      <c r="G70" s="40">
        <v>100.48</v>
      </c>
      <c r="H70" s="41">
        <f>ROUND(D70*E70,2)</f>
        <v>18303.68</v>
      </c>
      <c r="I70" s="208" t="s">
        <v>474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35"/>
        <v>#REF!</v>
      </c>
      <c r="U70" s="65" t="e">
        <f>D70-T70</f>
        <v>#REF!</v>
      </c>
      <c r="V70" s="65" t="e">
        <f t="shared" si="36"/>
        <v>#REF!</v>
      </c>
      <c r="W70" s="42">
        <f t="shared" si="37"/>
        <v>0.99986495611073589</v>
      </c>
      <c r="X70" s="42" t="e">
        <f t="shared" si="38"/>
        <v>#REF!</v>
      </c>
      <c r="Y70" s="43" t="e">
        <f t="shared" si="39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35"/>
        <v>0</v>
      </c>
      <c r="U71" s="65"/>
      <c r="V71" s="65">
        <f t="shared" si="36"/>
        <v>0</v>
      </c>
      <c r="W71" s="42">
        <v>0</v>
      </c>
      <c r="X71" s="42">
        <f t="shared" si="38"/>
        <v>0</v>
      </c>
      <c r="Y71" s="43">
        <f t="shared" si="39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70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71</v>
      </c>
      <c r="B73" s="38" t="s">
        <v>72</v>
      </c>
      <c r="C73" s="61" t="s">
        <v>8</v>
      </c>
      <c r="D73" s="62">
        <v>1114</v>
      </c>
      <c r="E73" s="63">
        <v>104.16</v>
      </c>
      <c r="F73" s="39" t="e">
        <f t="shared" ref="F73:F74" si="41">U73</f>
        <v>#REF!</v>
      </c>
      <c r="G73" s="63">
        <v>84.68</v>
      </c>
      <c r="H73" s="64">
        <f>ROUND(D73*E73,2)</f>
        <v>116034.24000000001</v>
      </c>
      <c r="I73" s="155" t="s">
        <v>446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 t="shared" ref="T73:T75" si="42">SUM(J73:S73)</f>
        <v>#REF!</v>
      </c>
      <c r="U73" s="65" t="e">
        <f>D73-T73</f>
        <v>#REF!</v>
      </c>
      <c r="V73" s="65" t="e">
        <f>U73*E73</f>
        <v>#REF!</v>
      </c>
      <c r="W73" s="42">
        <f t="shared" ref="W73:W74" si="43">(SUM(J73:R73))/D73</f>
        <v>0.90714542190305214</v>
      </c>
      <c r="X73" s="42" t="e">
        <f t="shared" ref="X73:X75" si="44"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73</v>
      </c>
      <c r="B74" s="38" t="s">
        <v>74</v>
      </c>
      <c r="C74" s="61" t="s">
        <v>8</v>
      </c>
      <c r="D74" s="62">
        <v>1114</v>
      </c>
      <c r="E74" s="63">
        <v>40.82</v>
      </c>
      <c r="F74" s="39" t="e">
        <f t="shared" si="41"/>
        <v>#REF!</v>
      </c>
      <c r="G74" s="63">
        <v>33.19</v>
      </c>
      <c r="H74" s="64">
        <f>ROUND(D74*E74,2)</f>
        <v>45473.48</v>
      </c>
      <c r="I74" s="155" t="s">
        <v>446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 t="shared" si="42"/>
        <v>#REF!</v>
      </c>
      <c r="U74" s="65" t="e">
        <f>D74-T74</f>
        <v>#REF!</v>
      </c>
      <c r="V74" s="65" t="e">
        <f>U74*E74</f>
        <v>#REF!</v>
      </c>
      <c r="W74" s="42">
        <f t="shared" si="43"/>
        <v>0</v>
      </c>
      <c r="X74" s="42" t="e">
        <f t="shared" si="44"/>
        <v>#REF!</v>
      </c>
      <c r="Y74" s="43" t="e">
        <f t="shared" ref="Y74:Y75" si="45">W74+X74</f>
        <v>#REF!</v>
      </c>
      <c r="Z74" s="96">
        <f>(J74+K74+L74+M74+N74)*E74</f>
        <v>0</v>
      </c>
      <c r="AA74" s="96" t="e">
        <f t="shared" ref="AA74" si="46"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 t="shared" si="42"/>
        <v>0</v>
      </c>
      <c r="U75" s="65"/>
      <c r="V75" s="65">
        <f>U75*E75</f>
        <v>0</v>
      </c>
      <c r="W75" s="42">
        <v>0</v>
      </c>
      <c r="X75" s="42">
        <f t="shared" si="44"/>
        <v>0</v>
      </c>
      <c r="Y75" s="43">
        <f t="shared" si="45"/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75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76</v>
      </c>
      <c r="B77" s="38" t="s">
        <v>77</v>
      </c>
      <c r="C77" s="61" t="s">
        <v>78</v>
      </c>
      <c r="D77" s="62">
        <v>2</v>
      </c>
      <c r="E77" s="63">
        <v>783.41</v>
      </c>
      <c r="F77" s="39">
        <f t="shared" ref="F77:F80" si="47">U77</f>
        <v>2</v>
      </c>
      <c r="G77" s="63">
        <v>636.91999999999996</v>
      </c>
      <c r="H77" s="64">
        <f>ROUND(D77*E77,2)</f>
        <v>1566.82</v>
      </c>
      <c r="I77" s="208" t="s">
        <v>476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 t="shared" ref="T77:T81" si="48"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 t="shared" ref="X77:X81" si="49">IF(D77=0,0,S77/D77)</f>
        <v>0</v>
      </c>
      <c r="Y77" s="43">
        <f>W77+X77</f>
        <v>0</v>
      </c>
      <c r="Z77" s="96">
        <f>(J77+K77+L77+M77+N77)*E77</f>
        <v>0</v>
      </c>
      <c r="AA77" s="96">
        <f t="shared" ref="AA77:AA80" si="50"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79</v>
      </c>
      <c r="B78" s="38" t="s">
        <v>80</v>
      </c>
      <c r="C78" s="61" t="s">
        <v>78</v>
      </c>
      <c r="D78" s="62">
        <v>1</v>
      </c>
      <c r="E78" s="63">
        <v>605.47</v>
      </c>
      <c r="F78" s="39">
        <f t="shared" si="47"/>
        <v>1</v>
      </c>
      <c r="G78" s="63">
        <v>492.25</v>
      </c>
      <c r="H78" s="64">
        <f>ROUND(D78*E78,2)</f>
        <v>605.47</v>
      </c>
      <c r="I78" s="208" t="s">
        <v>478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 t="shared" si="48"/>
        <v>0</v>
      </c>
      <c r="U78" s="65">
        <f>D78-T78</f>
        <v>1</v>
      </c>
      <c r="V78" s="65">
        <f>U78*E78</f>
        <v>605.47</v>
      </c>
      <c r="W78" s="42">
        <f t="shared" ref="W78:W80" si="51">(SUM(J78:R78))/D78</f>
        <v>0</v>
      </c>
      <c r="X78" s="42">
        <f t="shared" si="49"/>
        <v>0</v>
      </c>
      <c r="Y78" s="43">
        <f t="shared" ref="Y78:Y81" si="52">W78+X78</f>
        <v>0</v>
      </c>
      <c r="Z78" s="96">
        <f>(J78+K78+L78+M78+N78)*E78</f>
        <v>0</v>
      </c>
      <c r="AA78" s="96">
        <f t="shared" si="50"/>
        <v>0</v>
      </c>
      <c r="AB78" s="96">
        <f>(J78+K78+L78+M78+N78+O78)*E78</f>
        <v>0</v>
      </c>
      <c r="AC78" s="5"/>
    </row>
    <row r="79" spans="1:29" s="87" customFormat="1" ht="25.5">
      <c r="A79" s="37" t="s">
        <v>81</v>
      </c>
      <c r="B79" s="38" t="s">
        <v>82</v>
      </c>
      <c r="C79" s="61" t="s">
        <v>78</v>
      </c>
      <c r="D79" s="62">
        <v>4</v>
      </c>
      <c r="E79" s="63">
        <v>219.76</v>
      </c>
      <c r="F79" s="39">
        <f t="shared" si="47"/>
        <v>4</v>
      </c>
      <c r="G79" s="63">
        <v>178.67</v>
      </c>
      <c r="H79" s="64">
        <f>ROUND(D79*E79,2)</f>
        <v>879.04</v>
      </c>
      <c r="I79" s="208" t="s">
        <v>477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 t="shared" si="48"/>
        <v>0</v>
      </c>
      <c r="U79" s="65">
        <f>D79-T79</f>
        <v>4</v>
      </c>
      <c r="V79" s="65">
        <f>U79*E79</f>
        <v>879.04</v>
      </c>
      <c r="W79" s="42">
        <f t="shared" si="51"/>
        <v>0</v>
      </c>
      <c r="X79" s="42">
        <f t="shared" si="49"/>
        <v>0</v>
      </c>
      <c r="Y79" s="43">
        <f t="shared" si="52"/>
        <v>0</v>
      </c>
      <c r="Z79" s="96">
        <f>(J79+K79+L79+M79+N79)*E79</f>
        <v>0</v>
      </c>
      <c r="AA79" s="96">
        <f t="shared" si="50"/>
        <v>0</v>
      </c>
      <c r="AB79" s="96">
        <f>(J79+K79+L79+M79+N79+O79)*E79</f>
        <v>0</v>
      </c>
      <c r="AC79" s="5"/>
    </row>
    <row r="80" spans="1:29" s="87" customFormat="1" ht="25.5">
      <c r="A80" s="37" t="s">
        <v>83</v>
      </c>
      <c r="B80" s="38" t="s">
        <v>84</v>
      </c>
      <c r="C80" s="61" t="s">
        <v>78</v>
      </c>
      <c r="D80" s="62">
        <v>2</v>
      </c>
      <c r="E80" s="63">
        <v>249.28</v>
      </c>
      <c r="F80" s="39">
        <f t="shared" si="47"/>
        <v>2</v>
      </c>
      <c r="G80" s="63">
        <v>202.67</v>
      </c>
      <c r="H80" s="64">
        <f>ROUND(D80*E80,2)</f>
        <v>498.56</v>
      </c>
      <c r="I80" s="208" t="s">
        <v>479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 t="shared" si="48"/>
        <v>0</v>
      </c>
      <c r="U80" s="65">
        <f>D80-T80</f>
        <v>2</v>
      </c>
      <c r="V80" s="65">
        <f>U80*E80</f>
        <v>498.56</v>
      </c>
      <c r="W80" s="42">
        <f t="shared" si="51"/>
        <v>0</v>
      </c>
      <c r="X80" s="42">
        <f t="shared" si="49"/>
        <v>0</v>
      </c>
      <c r="Y80" s="43">
        <f t="shared" si="52"/>
        <v>0</v>
      </c>
      <c r="Z80" s="96">
        <f>(J80+K80+L80+M80+N80)*E80</f>
        <v>0</v>
      </c>
      <c r="AA80" s="96">
        <f t="shared" si="50"/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 t="shared" si="48"/>
        <v>0</v>
      </c>
      <c r="U81" s="65"/>
      <c r="V81" s="65">
        <f>U81*E81</f>
        <v>0</v>
      </c>
      <c r="W81" s="42">
        <v>0</v>
      </c>
      <c r="X81" s="42">
        <f t="shared" si="49"/>
        <v>0</v>
      </c>
      <c r="Y81" s="43">
        <f t="shared" si="52"/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85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86</v>
      </c>
      <c r="B83" s="193" t="s">
        <v>87</v>
      </c>
      <c r="C83" s="192" t="s">
        <v>8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480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53">SUM(J83:S83)</f>
        <v>397.48</v>
      </c>
      <c r="U83" s="65">
        <f>D83-T83</f>
        <v>1.3999999999896318E-3</v>
      </c>
      <c r="V83" s="65">
        <f t="shared" ref="V83:V88" si="54">U83*E83</f>
        <v>4.0459999999700362E-3</v>
      </c>
      <c r="W83" s="42">
        <f t="shared" ref="W83:W86" si="55">(SUM(J83:R83))/D83</f>
        <v>0.99999647782261014</v>
      </c>
      <c r="X83" s="42">
        <f t="shared" ref="X83:X88" si="56">IF(D83=0,0,S83/D83)</f>
        <v>0</v>
      </c>
      <c r="Y83" s="43">
        <f t="shared" ref="Y83:Y88" si="57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88</v>
      </c>
      <c r="B84" s="38" t="s">
        <v>89</v>
      </c>
      <c r="C84" s="37" t="s">
        <v>8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481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53"/>
        <v>409.1</v>
      </c>
      <c r="U84" s="65">
        <f>D84-T84</f>
        <v>0</v>
      </c>
      <c r="V84" s="65">
        <f t="shared" si="54"/>
        <v>0</v>
      </c>
      <c r="W84" s="42">
        <f t="shared" si="55"/>
        <v>1</v>
      </c>
      <c r="X84" s="42">
        <f t="shared" si="56"/>
        <v>0</v>
      </c>
      <c r="Y84" s="43">
        <f t="shared" si="57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90</v>
      </c>
      <c r="B85" s="183" t="s">
        <v>91</v>
      </c>
      <c r="C85" s="184" t="s">
        <v>8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482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53"/>
        <v>551</v>
      </c>
      <c r="U85" s="65">
        <f>D85-T85</f>
        <v>0</v>
      </c>
      <c r="V85" s="65">
        <f t="shared" si="54"/>
        <v>0</v>
      </c>
      <c r="W85" s="42">
        <f t="shared" si="55"/>
        <v>1</v>
      </c>
      <c r="X85" s="42">
        <f t="shared" si="56"/>
        <v>0</v>
      </c>
      <c r="Y85" s="43">
        <f t="shared" si="57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92</v>
      </c>
      <c r="B86" s="38" t="s">
        <v>93</v>
      </c>
      <c r="C86" s="61" t="s">
        <v>8</v>
      </c>
      <c r="D86" s="62">
        <v>328</v>
      </c>
      <c r="E86" s="63">
        <v>51.09</v>
      </c>
      <c r="F86" s="39">
        <f t="shared" ref="F86:F87" si="58">U86</f>
        <v>328</v>
      </c>
      <c r="G86" s="63">
        <v>41.54</v>
      </c>
      <c r="H86" s="64">
        <f>ROUND(D86*E86,2)</f>
        <v>16757.52</v>
      </c>
      <c r="I86" s="208" t="s">
        <v>484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53"/>
        <v>0</v>
      </c>
      <c r="U86" s="65">
        <f>D86-T86</f>
        <v>328</v>
      </c>
      <c r="V86" s="65">
        <f t="shared" si="54"/>
        <v>16757.52</v>
      </c>
      <c r="W86" s="42">
        <f t="shared" si="55"/>
        <v>0</v>
      </c>
      <c r="X86" s="42">
        <f t="shared" si="56"/>
        <v>0</v>
      </c>
      <c r="Y86" s="43">
        <f t="shared" si="57"/>
        <v>0</v>
      </c>
      <c r="Z86" s="96">
        <f>(J86+K86+L86+M86+N86)*E86</f>
        <v>0</v>
      </c>
      <c r="AA86" s="96">
        <f t="shared" ref="AA86:AA87" si="59"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94</v>
      </c>
      <c r="B87" s="38" t="s">
        <v>95</v>
      </c>
      <c r="C87" s="61" t="s">
        <v>8</v>
      </c>
      <c r="D87" s="62">
        <v>81.099999999999994</v>
      </c>
      <c r="E87" s="63">
        <v>70.599999999999994</v>
      </c>
      <c r="F87" s="39" t="e">
        <f t="shared" si="58"/>
        <v>#REF!</v>
      </c>
      <c r="G87" s="63">
        <v>57.4</v>
      </c>
      <c r="H87" s="64">
        <f>ROUND(D87*E87,2)</f>
        <v>5725.66</v>
      </c>
      <c r="I87" s="208" t="s">
        <v>483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53"/>
        <v>#REF!</v>
      </c>
      <c r="U87" s="65" t="e">
        <f>D87-T87</f>
        <v>#REF!</v>
      </c>
      <c r="V87" s="65" t="e">
        <f t="shared" si="54"/>
        <v>#REF!</v>
      </c>
      <c r="W87" s="42">
        <f>(SUM(J87:R87))/D87</f>
        <v>0</v>
      </c>
      <c r="X87" s="42" t="e">
        <f t="shared" si="56"/>
        <v>#REF!</v>
      </c>
      <c r="Y87" s="43" t="e">
        <f t="shared" si="57"/>
        <v>#REF!</v>
      </c>
      <c r="Z87" s="96">
        <f>(J87+K87+L87+M87+N87)*E87</f>
        <v>0</v>
      </c>
      <c r="AA87" s="96" t="e">
        <f t="shared" si="59"/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53"/>
        <v>0</v>
      </c>
      <c r="U88" s="79"/>
      <c r="V88" s="65">
        <f t="shared" si="54"/>
        <v>0</v>
      </c>
      <c r="W88" s="42">
        <v>0</v>
      </c>
      <c r="X88" s="42">
        <f t="shared" si="56"/>
        <v>0</v>
      </c>
      <c r="Y88" s="43">
        <f t="shared" si="57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96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97</v>
      </c>
      <c r="B90" s="188" t="s">
        <v>98</v>
      </c>
      <c r="C90" s="130" t="s">
        <v>8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485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60">SUM(J90:S90)</f>
        <v>633.20000000000005</v>
      </c>
      <c r="U90" s="65">
        <f>D90-T90</f>
        <v>0</v>
      </c>
      <c r="V90" s="65">
        <f t="shared" ref="V90:V95" si="61">U90*E90</f>
        <v>0</v>
      </c>
      <c r="W90" s="42">
        <f t="shared" ref="W90:W94" si="62">(SUM(J90:R90))/D90</f>
        <v>1</v>
      </c>
      <c r="X90" s="42">
        <f t="shared" ref="X90:X95" si="63">IF(D90=0,0,S90/D90)</f>
        <v>0</v>
      </c>
      <c r="Y90" s="43">
        <f t="shared" ref="Y90:Y95" si="64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99</v>
      </c>
      <c r="B91" s="38" t="s">
        <v>100</v>
      </c>
      <c r="C91" s="61" t="s">
        <v>8</v>
      </c>
      <c r="D91" s="62">
        <v>633.20000000000005</v>
      </c>
      <c r="E91" s="63">
        <v>70.25</v>
      </c>
      <c r="F91" s="39">
        <f t="shared" ref="F91:F94" si="65">U91</f>
        <v>633.20000000000005</v>
      </c>
      <c r="G91" s="63">
        <v>57.11</v>
      </c>
      <c r="H91" s="64">
        <f>ROUND(D91*E91,2)</f>
        <v>44482.3</v>
      </c>
      <c r="I91" s="155" t="s">
        <v>446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60"/>
        <v>0</v>
      </c>
      <c r="U91" s="65">
        <f>D91-T91</f>
        <v>633.20000000000005</v>
      </c>
      <c r="V91" s="65">
        <f t="shared" si="61"/>
        <v>44482.3</v>
      </c>
      <c r="W91" s="42">
        <f t="shared" si="62"/>
        <v>0</v>
      </c>
      <c r="X91" s="42">
        <f t="shared" si="63"/>
        <v>0</v>
      </c>
      <c r="Y91" s="43">
        <f t="shared" si="64"/>
        <v>0</v>
      </c>
      <c r="Z91" s="96">
        <f>(J91+K91+L91+M91+N91)*E91</f>
        <v>0</v>
      </c>
      <c r="AA91" s="96">
        <f t="shared" ref="AA91:AA94" si="66"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101</v>
      </c>
      <c r="B92" s="38" t="s">
        <v>102</v>
      </c>
      <c r="C92" s="61" t="s">
        <v>8</v>
      </c>
      <c r="D92" s="62">
        <v>195.4</v>
      </c>
      <c r="E92" s="63">
        <v>53.19</v>
      </c>
      <c r="F92" s="39" t="e">
        <f t="shared" si="65"/>
        <v>#REF!</v>
      </c>
      <c r="G92" s="63">
        <v>43.24</v>
      </c>
      <c r="H92" s="64">
        <f>ROUND(D92*E92,2)</f>
        <v>10393.33</v>
      </c>
      <c r="I92" s="155" t="s">
        <v>446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60"/>
        <v>#REF!</v>
      </c>
      <c r="U92" s="65" t="e">
        <f>D92-T92</f>
        <v>#REF!</v>
      </c>
      <c r="V92" s="65" t="e">
        <f t="shared" si="61"/>
        <v>#REF!</v>
      </c>
      <c r="W92" s="42">
        <f>(SUM(J92:R92))/D92</f>
        <v>0</v>
      </c>
      <c r="X92" s="42" t="e">
        <f t="shared" si="63"/>
        <v>#REF!</v>
      </c>
      <c r="Y92" s="43" t="e">
        <f t="shared" si="64"/>
        <v>#REF!</v>
      </c>
      <c r="Z92" s="96">
        <f>(J92+K92+L92+M92+N92)*E92</f>
        <v>0</v>
      </c>
      <c r="AA92" s="96" t="e">
        <f t="shared" si="66"/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103</v>
      </c>
      <c r="B93" s="38" t="s">
        <v>104</v>
      </c>
      <c r="C93" s="61" t="s">
        <v>105</v>
      </c>
      <c r="D93" s="62">
        <v>627.04999999999995</v>
      </c>
      <c r="E93" s="63">
        <v>7.6</v>
      </c>
      <c r="F93" s="39">
        <f t="shared" si="65"/>
        <v>627.04999999999995</v>
      </c>
      <c r="G93" s="63">
        <v>6.18</v>
      </c>
      <c r="H93" s="64">
        <f>ROUND(D93*E93,2)</f>
        <v>4765.58</v>
      </c>
      <c r="I93" s="208" t="s">
        <v>486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60"/>
        <v>0</v>
      </c>
      <c r="U93" s="65">
        <f>D93-T93</f>
        <v>627.04999999999995</v>
      </c>
      <c r="V93" s="65">
        <f t="shared" si="61"/>
        <v>4765.579999999999</v>
      </c>
      <c r="W93" s="42">
        <f t="shared" si="62"/>
        <v>0</v>
      </c>
      <c r="X93" s="42">
        <f t="shared" si="63"/>
        <v>0</v>
      </c>
      <c r="Y93" s="43">
        <f t="shared" si="64"/>
        <v>0</v>
      </c>
      <c r="Z93" s="96">
        <f>(J93+K93+L93+M93+N93)*E93</f>
        <v>0</v>
      </c>
      <c r="AA93" s="96">
        <f t="shared" si="66"/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106</v>
      </c>
      <c r="B94" s="38" t="s">
        <v>107</v>
      </c>
      <c r="C94" s="61" t="s">
        <v>8</v>
      </c>
      <c r="D94" s="62">
        <v>62.5</v>
      </c>
      <c r="E94" s="63">
        <v>33.630000000000003</v>
      </c>
      <c r="F94" s="39">
        <f t="shared" si="65"/>
        <v>62.5</v>
      </c>
      <c r="G94" s="63">
        <v>27.34</v>
      </c>
      <c r="H94" s="64">
        <f>ROUND(D94*E94,2)</f>
        <v>2101.88</v>
      </c>
      <c r="I94" s="208" t="s">
        <v>487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60"/>
        <v>0</v>
      </c>
      <c r="U94" s="65">
        <f>D94-T94</f>
        <v>62.5</v>
      </c>
      <c r="V94" s="65">
        <f t="shared" si="61"/>
        <v>2101.875</v>
      </c>
      <c r="W94" s="42">
        <f t="shared" si="62"/>
        <v>0</v>
      </c>
      <c r="X94" s="42">
        <f t="shared" si="63"/>
        <v>0</v>
      </c>
      <c r="Y94" s="43">
        <f t="shared" si="64"/>
        <v>0</v>
      </c>
      <c r="Z94" s="96">
        <f>(J94+K94+L94+M94+N94)*E94</f>
        <v>0</v>
      </c>
      <c r="AA94" s="96">
        <f t="shared" si="66"/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60"/>
        <v>0</v>
      </c>
      <c r="U95" s="79"/>
      <c r="V95" s="65">
        <f t="shared" si="61"/>
        <v>0</v>
      </c>
      <c r="W95" s="42">
        <v>0</v>
      </c>
      <c r="X95" s="42">
        <f t="shared" si="63"/>
        <v>0</v>
      </c>
      <c r="Y95" s="43">
        <f t="shared" si="64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108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109</v>
      </c>
      <c r="B97" s="38" t="s">
        <v>110</v>
      </c>
      <c r="C97" s="61" t="s">
        <v>8</v>
      </c>
      <c r="D97" s="62">
        <v>847.2</v>
      </c>
      <c r="E97" s="63">
        <v>2.94</v>
      </c>
      <c r="F97" s="39" t="e">
        <f t="shared" ref="F97:F104" si="67">U97</f>
        <v>#REF!</v>
      </c>
      <c r="G97" s="63">
        <v>2.39</v>
      </c>
      <c r="H97" s="64">
        <f t="shared" ref="H97:H104" si="68">ROUND(D97*E97,2)</f>
        <v>2490.77</v>
      </c>
      <c r="I97" s="208" t="s">
        <v>488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69">SUM(J97:S97)</f>
        <v>#REF!</v>
      </c>
      <c r="U97" s="65" t="e">
        <f t="shared" ref="U97:U104" si="70">D97-T97</f>
        <v>#REF!</v>
      </c>
      <c r="V97" s="65" t="e">
        <f t="shared" ref="V97:V105" si="71">U97*E97</f>
        <v>#REF!</v>
      </c>
      <c r="W97" s="42">
        <f t="shared" ref="W97:W104" si="72">(SUM(J97:R97))/D97</f>
        <v>0</v>
      </c>
      <c r="X97" s="42" t="e">
        <f t="shared" ref="X97:X105" si="73">IF(D97=0,0,S97/D97)</f>
        <v>#REF!</v>
      </c>
      <c r="Y97" s="43" t="e">
        <f t="shared" ref="Y97:Y105" si="74">W97+X97</f>
        <v>#REF!</v>
      </c>
      <c r="Z97" s="96">
        <f>(J97+K97+L97+M97+N97)*E97</f>
        <v>0</v>
      </c>
      <c r="AA97" s="96" t="e">
        <f t="shared" ref="AA97:AA104" si="75">S97*G97</f>
        <v>#REF!</v>
      </c>
      <c r="AB97" s="96">
        <f>(J97+K97+L97+M97+N97+O97)*E97</f>
        <v>0</v>
      </c>
      <c r="AC97" s="5"/>
    </row>
    <row r="98" spans="1:29" s="87" customFormat="1">
      <c r="A98" s="37" t="s">
        <v>111</v>
      </c>
      <c r="B98" s="38" t="s">
        <v>112</v>
      </c>
      <c r="C98" s="61" t="s">
        <v>105</v>
      </c>
      <c r="D98" s="62">
        <v>360</v>
      </c>
      <c r="E98" s="63">
        <v>8.6</v>
      </c>
      <c r="F98" s="39">
        <f t="shared" si="67"/>
        <v>360</v>
      </c>
      <c r="G98" s="63">
        <v>6.99</v>
      </c>
      <c r="H98" s="64">
        <f t="shared" si="68"/>
        <v>3096</v>
      </c>
      <c r="I98" s="209" t="s">
        <v>489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69"/>
        <v>0</v>
      </c>
      <c r="U98" s="65">
        <f t="shared" si="70"/>
        <v>360</v>
      </c>
      <c r="V98" s="65">
        <f t="shared" si="71"/>
        <v>3096</v>
      </c>
      <c r="W98" s="42">
        <f t="shared" si="72"/>
        <v>0</v>
      </c>
      <c r="X98" s="42">
        <f t="shared" si="73"/>
        <v>0</v>
      </c>
      <c r="Y98" s="43">
        <f t="shared" si="74"/>
        <v>0</v>
      </c>
      <c r="Z98" s="96">
        <f>(J98+K98+L98+M98+N98)*E98</f>
        <v>0</v>
      </c>
      <c r="AA98" s="96">
        <f t="shared" si="75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113</v>
      </c>
      <c r="B99" s="38" t="s">
        <v>114</v>
      </c>
      <c r="C99" s="61" t="s">
        <v>8</v>
      </c>
      <c r="D99" s="62">
        <v>88.6</v>
      </c>
      <c r="E99" s="63">
        <v>12.95</v>
      </c>
      <c r="F99" s="39">
        <f t="shared" si="67"/>
        <v>88.6</v>
      </c>
      <c r="G99" s="63">
        <v>10.53</v>
      </c>
      <c r="H99" s="64">
        <f t="shared" si="68"/>
        <v>1147.3699999999999</v>
      </c>
      <c r="I99" s="208" t="s">
        <v>490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69"/>
        <v>0</v>
      </c>
      <c r="U99" s="65">
        <f t="shared" si="70"/>
        <v>88.6</v>
      </c>
      <c r="V99" s="65">
        <f t="shared" si="71"/>
        <v>1147.3699999999999</v>
      </c>
      <c r="W99" s="42">
        <f t="shared" si="72"/>
        <v>0</v>
      </c>
      <c r="X99" s="42">
        <f t="shared" si="73"/>
        <v>0</v>
      </c>
      <c r="Y99" s="43">
        <f t="shared" si="74"/>
        <v>0</v>
      </c>
      <c r="Z99" s="96">
        <f>(J99+K99+L99+M99+N99)*E99</f>
        <v>0</v>
      </c>
      <c r="AA99" s="96">
        <f t="shared" si="75"/>
        <v>0</v>
      </c>
      <c r="AB99" s="96">
        <f>(J99+K99+L99+M99+N99+O99)*E99</f>
        <v>0</v>
      </c>
      <c r="AC99" s="5"/>
    </row>
    <row r="100" spans="1:29" s="87" customFormat="1" ht="25.5">
      <c r="A100" s="37" t="s">
        <v>115</v>
      </c>
      <c r="B100" s="38" t="s">
        <v>116</v>
      </c>
      <c r="C100" s="61" t="s">
        <v>8</v>
      </c>
      <c r="D100" s="62">
        <v>1114</v>
      </c>
      <c r="E100" s="63">
        <v>30.54</v>
      </c>
      <c r="F100" s="39">
        <f t="shared" si="67"/>
        <v>0</v>
      </c>
      <c r="G100" s="63">
        <v>24.83</v>
      </c>
      <c r="H100" s="64">
        <f t="shared" si="68"/>
        <v>34021.56</v>
      </c>
      <c r="I100" s="208" t="s">
        <v>491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69"/>
        <v>1114</v>
      </c>
      <c r="U100" s="65">
        <f t="shared" si="70"/>
        <v>0</v>
      </c>
      <c r="V100" s="65">
        <f t="shared" si="71"/>
        <v>0</v>
      </c>
      <c r="W100" s="42">
        <f t="shared" si="72"/>
        <v>0.90714542190305214</v>
      </c>
      <c r="X100" s="42">
        <f t="shared" si="73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117</v>
      </c>
      <c r="B101" s="38" t="s">
        <v>118</v>
      </c>
      <c r="C101" s="61" t="s">
        <v>8</v>
      </c>
      <c r="D101" s="62">
        <v>1114</v>
      </c>
      <c r="E101" s="63">
        <v>9.07</v>
      </c>
      <c r="F101" s="39">
        <f t="shared" si="67"/>
        <v>0</v>
      </c>
      <c r="G101" s="63">
        <v>7.37</v>
      </c>
      <c r="H101" s="64">
        <f t="shared" si="68"/>
        <v>10103.98</v>
      </c>
      <c r="I101" s="208" t="s">
        <v>492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69"/>
        <v>1114</v>
      </c>
      <c r="U101" s="65">
        <f t="shared" si="70"/>
        <v>0</v>
      </c>
      <c r="V101" s="65">
        <f t="shared" si="71"/>
        <v>0</v>
      </c>
      <c r="W101" s="42">
        <f t="shared" si="72"/>
        <v>0.90714542190305214</v>
      </c>
      <c r="X101" s="42">
        <f t="shared" si="73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119</v>
      </c>
      <c r="B102" s="38" t="s">
        <v>120</v>
      </c>
      <c r="C102" s="61" t="s">
        <v>8</v>
      </c>
      <c r="D102" s="62">
        <v>847.2</v>
      </c>
      <c r="E102" s="63">
        <v>11.62</v>
      </c>
      <c r="F102" s="39">
        <f t="shared" si="67"/>
        <v>847.2</v>
      </c>
      <c r="G102" s="63">
        <v>9.4499999999999993</v>
      </c>
      <c r="H102" s="64">
        <f t="shared" si="68"/>
        <v>9844.4599999999991</v>
      </c>
      <c r="I102" s="208" t="s">
        <v>492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69"/>
        <v>0</v>
      </c>
      <c r="U102" s="65">
        <f t="shared" si="70"/>
        <v>847.2</v>
      </c>
      <c r="V102" s="65">
        <f t="shared" si="71"/>
        <v>9844.4639999999999</v>
      </c>
      <c r="W102" s="42">
        <f t="shared" si="72"/>
        <v>0</v>
      </c>
      <c r="X102" s="42">
        <f t="shared" si="73"/>
        <v>0</v>
      </c>
      <c r="Y102" s="43">
        <f t="shared" si="74"/>
        <v>0</v>
      </c>
      <c r="Z102" s="96">
        <f>(J102+K102+L102+M102+N102)*E102</f>
        <v>0</v>
      </c>
      <c r="AA102" s="96">
        <f t="shared" si="75"/>
        <v>0</v>
      </c>
      <c r="AB102" s="96">
        <f>(J102+K102+L102+M102+N102+O102)*E102</f>
        <v>0</v>
      </c>
      <c r="AC102" s="5"/>
    </row>
    <row r="103" spans="1:29" s="90" customFormat="1">
      <c r="A103" s="37" t="s">
        <v>121</v>
      </c>
      <c r="B103" s="38" t="s">
        <v>122</v>
      </c>
      <c r="C103" s="37" t="s">
        <v>8</v>
      </c>
      <c r="D103" s="39">
        <v>480</v>
      </c>
      <c r="E103" s="63">
        <v>28.93</v>
      </c>
      <c r="F103" s="39">
        <f t="shared" si="67"/>
        <v>480</v>
      </c>
      <c r="G103" s="63">
        <v>23.52</v>
      </c>
      <c r="H103" s="64">
        <f t="shared" si="68"/>
        <v>13886.4</v>
      </c>
      <c r="I103" s="208" t="s">
        <v>493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69"/>
        <v>0</v>
      </c>
      <c r="U103" s="65">
        <f t="shared" si="70"/>
        <v>480</v>
      </c>
      <c r="V103" s="65">
        <f t="shared" si="71"/>
        <v>13886.4</v>
      </c>
      <c r="W103" s="42">
        <f t="shared" si="72"/>
        <v>0</v>
      </c>
      <c r="X103" s="42">
        <f t="shared" si="73"/>
        <v>0</v>
      </c>
      <c r="Y103" s="43">
        <f t="shared" si="74"/>
        <v>0</v>
      </c>
      <c r="Z103" s="96">
        <f>(J103+K103+L103+M103+N103)*E103</f>
        <v>0</v>
      </c>
      <c r="AA103" s="96">
        <f t="shared" si="75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123</v>
      </c>
      <c r="B104" s="38" t="s">
        <v>124</v>
      </c>
      <c r="C104" s="61" t="s">
        <v>8</v>
      </c>
      <c r="D104" s="62">
        <v>476</v>
      </c>
      <c r="E104" s="63">
        <v>31.62</v>
      </c>
      <c r="F104" s="39">
        <f t="shared" si="67"/>
        <v>476</v>
      </c>
      <c r="G104" s="63">
        <v>25.71</v>
      </c>
      <c r="H104" s="64">
        <f t="shared" si="68"/>
        <v>15051.12</v>
      </c>
      <c r="I104" s="208" t="s">
        <v>495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69"/>
        <v>0</v>
      </c>
      <c r="U104" s="65">
        <f t="shared" si="70"/>
        <v>476</v>
      </c>
      <c r="V104" s="65">
        <f t="shared" si="71"/>
        <v>15051.12</v>
      </c>
      <c r="W104" s="42">
        <f t="shared" si="72"/>
        <v>0</v>
      </c>
      <c r="X104" s="42">
        <f t="shared" si="73"/>
        <v>0</v>
      </c>
      <c r="Y104" s="43">
        <f t="shared" si="74"/>
        <v>0</v>
      </c>
      <c r="Z104" s="96">
        <f>(J104+K104+L104+M104+N104)*E104</f>
        <v>0</v>
      </c>
      <c r="AA104" s="96">
        <f t="shared" si="75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69"/>
        <v>0</v>
      </c>
      <c r="U105" s="79"/>
      <c r="V105" s="65">
        <f t="shared" si="71"/>
        <v>0</v>
      </c>
      <c r="W105" s="42">
        <v>0</v>
      </c>
      <c r="X105" s="42">
        <f t="shared" si="73"/>
        <v>0</v>
      </c>
      <c r="Y105" s="43">
        <f t="shared" si="74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125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126</v>
      </c>
      <c r="B107" s="193" t="s">
        <v>127</v>
      </c>
      <c r="C107" s="192" t="s">
        <v>15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76">ROUND(D107*E107,2)</f>
        <v>15.48</v>
      </c>
      <c r="I107" s="206" t="s">
        <v>446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77">SUM(J107:S107)</f>
        <v>4</v>
      </c>
      <c r="U107" s="65">
        <f t="shared" ref="U107:U147" si="78">D107-T107</f>
        <v>0</v>
      </c>
      <c r="V107" s="65">
        <f t="shared" ref="V107:V148" si="79">U107*E107</f>
        <v>0</v>
      </c>
      <c r="W107" s="42">
        <f t="shared" ref="W107:W147" si="80">(SUM(J107:R107))/D107</f>
        <v>1</v>
      </c>
      <c r="X107" s="42">
        <f t="shared" ref="X107:X148" si="81">IF(D107=0,0,S107/D107)</f>
        <v>0</v>
      </c>
      <c r="Y107" s="43">
        <f t="shared" ref="Y107:Y148" si="82">W107+X107</f>
        <v>1</v>
      </c>
      <c r="Z107" s="96">
        <f>(J107+K107+L107+M107+N107)*E107</f>
        <v>15.48</v>
      </c>
      <c r="AA107" s="96">
        <f t="shared" ref="AA107:AA112" si="83">Q107*E107</f>
        <v>0</v>
      </c>
      <c r="AB107" s="96">
        <f>(J107+K107+L107+M107+N107+O107)*E107</f>
        <v>15.48</v>
      </c>
      <c r="AC107" s="5"/>
    </row>
    <row r="108" spans="1:29" ht="25.5">
      <c r="A108" s="37" t="s">
        <v>128</v>
      </c>
      <c r="B108" s="38" t="s">
        <v>129</v>
      </c>
      <c r="C108" s="37" t="s">
        <v>15</v>
      </c>
      <c r="D108" s="39">
        <v>12</v>
      </c>
      <c r="E108" s="40">
        <v>4.4800000000000004</v>
      </c>
      <c r="F108" s="40"/>
      <c r="G108" s="40">
        <v>3.64</v>
      </c>
      <c r="H108" s="41">
        <f t="shared" si="76"/>
        <v>53.76</v>
      </c>
      <c r="I108" s="154" t="s">
        <v>446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77"/>
        <v>12</v>
      </c>
      <c r="U108" s="65">
        <f t="shared" si="78"/>
        <v>0</v>
      </c>
      <c r="V108" s="65">
        <f t="shared" si="79"/>
        <v>0</v>
      </c>
      <c r="W108" s="42">
        <f t="shared" si="80"/>
        <v>1</v>
      </c>
      <c r="X108" s="42">
        <f t="shared" si="81"/>
        <v>0</v>
      </c>
      <c r="Y108" s="43">
        <f t="shared" si="82"/>
        <v>1</v>
      </c>
      <c r="Z108" s="96">
        <f>(J108+K108+L108+M108+N108)*E108</f>
        <v>53.760000000000005</v>
      </c>
      <c r="AA108" s="96">
        <f t="shared" si="83"/>
        <v>0</v>
      </c>
      <c r="AB108" s="96">
        <f>(J108+K108+L108+M108+N108+O108)*E108</f>
        <v>53.760000000000005</v>
      </c>
      <c r="AC108" s="5"/>
    </row>
    <row r="109" spans="1:29" ht="25.5">
      <c r="A109" s="37" t="s">
        <v>130</v>
      </c>
      <c r="B109" s="38" t="s">
        <v>131</v>
      </c>
      <c r="C109" s="37" t="s">
        <v>15</v>
      </c>
      <c r="D109" s="39">
        <v>4</v>
      </c>
      <c r="E109" s="40">
        <v>6.22</v>
      </c>
      <c r="F109" s="40"/>
      <c r="G109" s="40">
        <v>5.0599999999999996</v>
      </c>
      <c r="H109" s="41">
        <f t="shared" si="76"/>
        <v>24.88</v>
      </c>
      <c r="I109" s="154" t="s">
        <v>446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77"/>
        <v>4</v>
      </c>
      <c r="U109" s="65">
        <f t="shared" si="78"/>
        <v>0</v>
      </c>
      <c r="V109" s="65">
        <f t="shared" si="79"/>
        <v>0</v>
      </c>
      <c r="W109" s="42">
        <f t="shared" si="80"/>
        <v>1</v>
      </c>
      <c r="X109" s="42">
        <f t="shared" si="81"/>
        <v>0</v>
      </c>
      <c r="Y109" s="43">
        <f t="shared" si="82"/>
        <v>1</v>
      </c>
      <c r="Z109" s="96">
        <f>(J109+K109+L109+M109+N109)*E109</f>
        <v>24.88</v>
      </c>
      <c r="AA109" s="96">
        <f t="shared" si="83"/>
        <v>0</v>
      </c>
      <c r="AB109" s="96">
        <f>(J109+K109+L109+M109+N109+O109)*E109</f>
        <v>24.88</v>
      </c>
      <c r="AC109" s="5"/>
    </row>
    <row r="110" spans="1:29" ht="25.5">
      <c r="A110" s="37" t="s">
        <v>132</v>
      </c>
      <c r="B110" s="38" t="s">
        <v>133</v>
      </c>
      <c r="C110" s="37" t="s">
        <v>15</v>
      </c>
      <c r="D110" s="39">
        <v>4</v>
      </c>
      <c r="E110" s="40">
        <v>7.88</v>
      </c>
      <c r="F110" s="40"/>
      <c r="G110" s="40">
        <v>6.41</v>
      </c>
      <c r="H110" s="41">
        <f t="shared" si="76"/>
        <v>31.52</v>
      </c>
      <c r="I110" s="154" t="s">
        <v>446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77"/>
        <v>4</v>
      </c>
      <c r="U110" s="65">
        <f t="shared" si="78"/>
        <v>0</v>
      </c>
      <c r="V110" s="65">
        <f t="shared" si="79"/>
        <v>0</v>
      </c>
      <c r="W110" s="42">
        <f t="shared" si="80"/>
        <v>1</v>
      </c>
      <c r="X110" s="42">
        <f t="shared" si="81"/>
        <v>0</v>
      </c>
      <c r="Y110" s="43">
        <f t="shared" si="82"/>
        <v>1</v>
      </c>
      <c r="Z110" s="96">
        <f>(J110+K110+L110+M110+N110)*E110</f>
        <v>31.52</v>
      </c>
      <c r="AA110" s="96">
        <f t="shared" si="83"/>
        <v>0</v>
      </c>
      <c r="AB110" s="96">
        <f>(J110+K110+L110+M110+N110+O110)*E110</f>
        <v>31.52</v>
      </c>
      <c r="AC110" s="5"/>
    </row>
    <row r="111" spans="1:29" s="87" customFormat="1">
      <c r="A111" s="37" t="s">
        <v>134</v>
      </c>
      <c r="B111" s="38" t="s">
        <v>135</v>
      </c>
      <c r="C111" s="61" t="s">
        <v>15</v>
      </c>
      <c r="D111" s="62">
        <v>0</v>
      </c>
      <c r="E111" s="63">
        <v>8.51</v>
      </c>
      <c r="F111" s="63"/>
      <c r="G111" s="63">
        <v>6.92</v>
      </c>
      <c r="H111" s="64">
        <f t="shared" si="76"/>
        <v>0</v>
      </c>
      <c r="I111" s="155" t="s">
        <v>453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77"/>
        <v>0</v>
      </c>
      <c r="U111" s="65">
        <f t="shared" si="78"/>
        <v>0</v>
      </c>
      <c r="V111" s="65">
        <f t="shared" si="79"/>
        <v>0</v>
      </c>
      <c r="W111" s="42">
        <v>0</v>
      </c>
      <c r="X111" s="42">
        <f t="shared" si="81"/>
        <v>0</v>
      </c>
      <c r="Y111" s="43">
        <f t="shared" si="82"/>
        <v>0</v>
      </c>
      <c r="Z111" s="96">
        <f>(J111+K111+L111+M111)*E111</f>
        <v>0</v>
      </c>
      <c r="AA111" s="96">
        <f t="shared" si="83"/>
        <v>0</v>
      </c>
      <c r="AB111" s="96">
        <f>(J111+K111+L111+M111+N111)*E111</f>
        <v>0</v>
      </c>
      <c r="AC111" s="5"/>
    </row>
    <row r="112" spans="1:29" s="87" customFormat="1">
      <c r="A112" s="182" t="s">
        <v>136</v>
      </c>
      <c r="B112" s="183" t="s">
        <v>137</v>
      </c>
      <c r="C112" s="184" t="s">
        <v>15</v>
      </c>
      <c r="D112" s="62">
        <v>0</v>
      </c>
      <c r="E112" s="63">
        <v>10.93</v>
      </c>
      <c r="F112" s="180"/>
      <c r="G112" s="63">
        <v>8.89</v>
      </c>
      <c r="H112" s="64">
        <f t="shared" si="76"/>
        <v>0</v>
      </c>
      <c r="I112" s="185" t="s">
        <v>454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77"/>
        <v>0</v>
      </c>
      <c r="U112" s="65">
        <f t="shared" si="78"/>
        <v>0</v>
      </c>
      <c r="V112" s="65">
        <f t="shared" si="79"/>
        <v>0</v>
      </c>
      <c r="W112" s="42">
        <v>0</v>
      </c>
      <c r="X112" s="42">
        <f t="shared" si="81"/>
        <v>0</v>
      </c>
      <c r="Y112" s="43">
        <f t="shared" si="82"/>
        <v>0</v>
      </c>
      <c r="Z112" s="96">
        <f>(J112+K112+L112+M112)*E112</f>
        <v>0</v>
      </c>
      <c r="AA112" s="96">
        <f t="shared" si="83"/>
        <v>0</v>
      </c>
      <c r="AB112" s="96">
        <f>(J112+K112+L112+M112+N112)*E112</f>
        <v>0</v>
      </c>
      <c r="AC112" s="5"/>
    </row>
    <row r="113" spans="1:29" s="87" customFormat="1">
      <c r="A113" s="37" t="s">
        <v>138</v>
      </c>
      <c r="B113" s="38" t="s">
        <v>139</v>
      </c>
      <c r="C113" s="61" t="s">
        <v>15</v>
      </c>
      <c r="D113" s="62">
        <v>1</v>
      </c>
      <c r="E113" s="63">
        <v>1625.59</v>
      </c>
      <c r="F113" s="39">
        <f t="shared" ref="F113:F115" si="84">U113</f>
        <v>0</v>
      </c>
      <c r="G113" s="63">
        <v>1321.62</v>
      </c>
      <c r="H113" s="64">
        <f t="shared" si="76"/>
        <v>1625.59</v>
      </c>
      <c r="I113" s="208" t="s">
        <v>496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77"/>
        <v>1</v>
      </c>
      <c r="U113" s="65">
        <f t="shared" si="78"/>
        <v>0</v>
      </c>
      <c r="V113" s="65">
        <f t="shared" si="79"/>
        <v>0</v>
      </c>
      <c r="W113" s="42">
        <f t="shared" si="80"/>
        <v>0</v>
      </c>
      <c r="X113" s="42">
        <f t="shared" si="81"/>
        <v>1</v>
      </c>
      <c r="Y113" s="43">
        <f t="shared" si="82"/>
        <v>1</v>
      </c>
      <c r="Z113" s="96">
        <f>(J113+K113+L113+M113+N113)*E113</f>
        <v>0</v>
      </c>
      <c r="AA113" s="96">
        <f t="shared" ref="AA113:AA115" si="85"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140</v>
      </c>
      <c r="B114" s="38" t="s">
        <v>141</v>
      </c>
      <c r="C114" s="61" t="s">
        <v>15</v>
      </c>
      <c r="D114" s="62">
        <v>10</v>
      </c>
      <c r="E114" s="63">
        <v>6.43</v>
      </c>
      <c r="F114" s="39">
        <f t="shared" si="84"/>
        <v>10</v>
      </c>
      <c r="G114" s="63">
        <v>5.23</v>
      </c>
      <c r="H114" s="64">
        <f t="shared" si="76"/>
        <v>64.3</v>
      </c>
      <c r="I114" s="208" t="s">
        <v>497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77"/>
        <v>0</v>
      </c>
      <c r="U114" s="65">
        <f t="shared" si="78"/>
        <v>10</v>
      </c>
      <c r="V114" s="65">
        <f t="shared" si="79"/>
        <v>64.3</v>
      </c>
      <c r="W114" s="42">
        <f t="shared" si="80"/>
        <v>0</v>
      </c>
      <c r="X114" s="42">
        <f t="shared" si="81"/>
        <v>0</v>
      </c>
      <c r="Y114" s="43">
        <f t="shared" si="82"/>
        <v>0</v>
      </c>
      <c r="Z114" s="96">
        <f>(J114+K114+L114+M114+N114)*E114</f>
        <v>0</v>
      </c>
      <c r="AA114" s="96">
        <f t="shared" si="85"/>
        <v>0</v>
      </c>
      <c r="AB114" s="96">
        <f>(J114+K114+L114+M114+N114+O114)*E114</f>
        <v>0</v>
      </c>
      <c r="AC114" s="5"/>
    </row>
    <row r="115" spans="1:29" s="87" customFormat="1">
      <c r="A115" s="37" t="s">
        <v>142</v>
      </c>
      <c r="B115" s="38" t="s">
        <v>143</v>
      </c>
      <c r="C115" s="61" t="s">
        <v>15</v>
      </c>
      <c r="D115" s="62">
        <v>3</v>
      </c>
      <c r="E115" s="63">
        <v>17.63</v>
      </c>
      <c r="F115" s="39">
        <f t="shared" si="84"/>
        <v>3</v>
      </c>
      <c r="G115" s="63">
        <v>14.33</v>
      </c>
      <c r="H115" s="64">
        <f t="shared" si="76"/>
        <v>52.89</v>
      </c>
      <c r="I115" s="208" t="s">
        <v>498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77"/>
        <v>0</v>
      </c>
      <c r="U115" s="65">
        <f t="shared" si="78"/>
        <v>3</v>
      </c>
      <c r="V115" s="65">
        <f t="shared" si="79"/>
        <v>52.89</v>
      </c>
      <c r="W115" s="42">
        <f t="shared" si="80"/>
        <v>0</v>
      </c>
      <c r="X115" s="42">
        <f t="shared" si="81"/>
        <v>0</v>
      </c>
      <c r="Y115" s="43">
        <f t="shared" si="82"/>
        <v>0</v>
      </c>
      <c r="Z115" s="96">
        <f>(J115+K115+L115+M115+N115)*E115</f>
        <v>0</v>
      </c>
      <c r="AA115" s="96">
        <f t="shared" si="85"/>
        <v>0</v>
      </c>
      <c r="AB115" s="96">
        <f>(J115+K115+L115+M115+N115+O115)*E115</f>
        <v>0</v>
      </c>
      <c r="AC115" s="5"/>
    </row>
    <row r="116" spans="1:29">
      <c r="A116" s="192" t="s">
        <v>144</v>
      </c>
      <c r="B116" s="193" t="s">
        <v>145</v>
      </c>
      <c r="C116" s="192" t="s">
        <v>15</v>
      </c>
      <c r="D116" s="39">
        <v>2</v>
      </c>
      <c r="E116" s="40">
        <v>39.96</v>
      </c>
      <c r="F116" s="205"/>
      <c r="G116" s="40">
        <v>32.49</v>
      </c>
      <c r="H116" s="41">
        <f t="shared" si="76"/>
        <v>79.92</v>
      </c>
      <c r="I116" s="206" t="s">
        <v>446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77"/>
        <v>2</v>
      </c>
      <c r="U116" s="65">
        <f t="shared" si="78"/>
        <v>0</v>
      </c>
      <c r="V116" s="65">
        <f t="shared" si="79"/>
        <v>0</v>
      </c>
      <c r="W116" s="42">
        <f t="shared" si="80"/>
        <v>1</v>
      </c>
      <c r="X116" s="42">
        <f t="shared" si="81"/>
        <v>0</v>
      </c>
      <c r="Y116" s="43">
        <f t="shared" si="82"/>
        <v>1</v>
      </c>
      <c r="Z116" s="96">
        <f>(J116+K116+L116+M116+N116)*E116</f>
        <v>79.92</v>
      </c>
      <c r="AA116" s="96">
        <f t="shared" ref="AA116:AA136" si="86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146</v>
      </c>
      <c r="B117" s="38" t="s">
        <v>147</v>
      </c>
      <c r="C117" s="61" t="s">
        <v>15</v>
      </c>
      <c r="D117" s="62">
        <v>0</v>
      </c>
      <c r="E117" s="63">
        <v>5.2</v>
      </c>
      <c r="F117" s="63"/>
      <c r="G117" s="63">
        <v>4.2300000000000004</v>
      </c>
      <c r="H117" s="64">
        <f t="shared" si="76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77"/>
        <v>0</v>
      </c>
      <c r="U117" s="65">
        <f t="shared" si="78"/>
        <v>0</v>
      </c>
      <c r="V117" s="65">
        <f t="shared" si="79"/>
        <v>0</v>
      </c>
      <c r="W117" s="42">
        <v>0</v>
      </c>
      <c r="X117" s="42">
        <f t="shared" si="81"/>
        <v>0</v>
      </c>
      <c r="Y117" s="43">
        <f t="shared" si="82"/>
        <v>0</v>
      </c>
      <c r="Z117" s="96">
        <f t="shared" ref="Z117:Z124" si="87">(J117+K117+L117+M117)*E117</f>
        <v>0</v>
      </c>
      <c r="AA117" s="96">
        <f t="shared" si="86"/>
        <v>0</v>
      </c>
      <c r="AB117" s="96">
        <f t="shared" ref="AB117:AB124" si="88">(J117+K117+L117+M117+N117)*E117</f>
        <v>0</v>
      </c>
      <c r="AC117" s="5"/>
    </row>
    <row r="118" spans="1:29" s="87" customFormat="1">
      <c r="A118" s="37" t="s">
        <v>148</v>
      </c>
      <c r="B118" s="38" t="s">
        <v>149</v>
      </c>
      <c r="C118" s="61" t="s">
        <v>15</v>
      </c>
      <c r="D118" s="62">
        <v>0</v>
      </c>
      <c r="E118" s="63">
        <v>7.22</v>
      </c>
      <c r="F118" s="63"/>
      <c r="G118" s="63">
        <v>5.87</v>
      </c>
      <c r="H118" s="64">
        <f t="shared" si="76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77"/>
        <v>0</v>
      </c>
      <c r="U118" s="65">
        <f t="shared" si="78"/>
        <v>0</v>
      </c>
      <c r="V118" s="65">
        <f t="shared" si="79"/>
        <v>0</v>
      </c>
      <c r="W118" s="42">
        <v>0</v>
      </c>
      <c r="X118" s="42">
        <f t="shared" si="81"/>
        <v>0</v>
      </c>
      <c r="Y118" s="43">
        <f t="shared" si="82"/>
        <v>0</v>
      </c>
      <c r="Z118" s="96">
        <f t="shared" si="87"/>
        <v>0</v>
      </c>
      <c r="AA118" s="96">
        <f t="shared" si="86"/>
        <v>0</v>
      </c>
      <c r="AB118" s="96">
        <f t="shared" si="88"/>
        <v>0</v>
      </c>
      <c r="AC118" s="5"/>
    </row>
    <row r="119" spans="1:29" s="87" customFormat="1">
      <c r="A119" s="37" t="s">
        <v>150</v>
      </c>
      <c r="B119" s="38" t="s">
        <v>151</v>
      </c>
      <c r="C119" s="61" t="s">
        <v>15</v>
      </c>
      <c r="D119" s="62">
        <v>0</v>
      </c>
      <c r="E119" s="63">
        <v>8.25</v>
      </c>
      <c r="F119" s="63"/>
      <c r="G119" s="63">
        <v>6.71</v>
      </c>
      <c r="H119" s="64">
        <f t="shared" si="76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77"/>
        <v>0</v>
      </c>
      <c r="U119" s="65">
        <f t="shared" si="78"/>
        <v>0</v>
      </c>
      <c r="V119" s="65">
        <f t="shared" si="79"/>
        <v>0</v>
      </c>
      <c r="W119" s="42">
        <v>0</v>
      </c>
      <c r="X119" s="42">
        <f t="shared" si="81"/>
        <v>0</v>
      </c>
      <c r="Y119" s="43">
        <f t="shared" si="82"/>
        <v>0</v>
      </c>
      <c r="Z119" s="96">
        <f t="shared" si="87"/>
        <v>0</v>
      </c>
      <c r="AA119" s="96">
        <f t="shared" si="86"/>
        <v>0</v>
      </c>
      <c r="AB119" s="96">
        <f t="shared" si="88"/>
        <v>0</v>
      </c>
      <c r="AC119" s="5"/>
    </row>
    <row r="120" spans="1:29" s="87" customFormat="1">
      <c r="A120" s="37" t="s">
        <v>152</v>
      </c>
      <c r="B120" s="38" t="s">
        <v>153</v>
      </c>
      <c r="C120" s="61" t="s">
        <v>15</v>
      </c>
      <c r="D120" s="62">
        <v>0</v>
      </c>
      <c r="E120" s="63">
        <v>11.21</v>
      </c>
      <c r="F120" s="63"/>
      <c r="G120" s="63">
        <v>9.11</v>
      </c>
      <c r="H120" s="64">
        <f t="shared" si="76"/>
        <v>0</v>
      </c>
      <c r="I120" s="155" t="s">
        <v>455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77"/>
        <v>0</v>
      </c>
      <c r="U120" s="65">
        <f t="shared" si="78"/>
        <v>0</v>
      </c>
      <c r="V120" s="65">
        <f t="shared" si="79"/>
        <v>0</v>
      </c>
      <c r="W120" s="42">
        <v>0</v>
      </c>
      <c r="X120" s="42">
        <f t="shared" si="81"/>
        <v>0</v>
      </c>
      <c r="Y120" s="43">
        <f t="shared" si="82"/>
        <v>0</v>
      </c>
      <c r="Z120" s="96">
        <f t="shared" si="87"/>
        <v>0</v>
      </c>
      <c r="AA120" s="96">
        <f t="shared" si="86"/>
        <v>0</v>
      </c>
      <c r="AB120" s="96">
        <f t="shared" si="88"/>
        <v>0</v>
      </c>
      <c r="AC120" s="5"/>
    </row>
    <row r="121" spans="1:29" s="87" customFormat="1">
      <c r="A121" s="37" t="s">
        <v>154</v>
      </c>
      <c r="B121" s="38" t="s">
        <v>155</v>
      </c>
      <c r="C121" s="61" t="s">
        <v>15</v>
      </c>
      <c r="D121" s="62">
        <v>0</v>
      </c>
      <c r="E121" s="63">
        <v>8.1999999999999993</v>
      </c>
      <c r="F121" s="63"/>
      <c r="G121" s="63">
        <v>6.67</v>
      </c>
      <c r="H121" s="64">
        <f t="shared" si="76"/>
        <v>0</v>
      </c>
      <c r="I121" s="155" t="s">
        <v>456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77"/>
        <v>0</v>
      </c>
      <c r="U121" s="65">
        <f t="shared" si="78"/>
        <v>0</v>
      </c>
      <c r="V121" s="65">
        <f t="shared" si="79"/>
        <v>0</v>
      </c>
      <c r="W121" s="42">
        <v>0</v>
      </c>
      <c r="X121" s="42">
        <f t="shared" si="81"/>
        <v>0</v>
      </c>
      <c r="Y121" s="43">
        <f t="shared" si="82"/>
        <v>0</v>
      </c>
      <c r="Z121" s="96">
        <f t="shared" si="87"/>
        <v>0</v>
      </c>
      <c r="AA121" s="96">
        <f t="shared" si="86"/>
        <v>0</v>
      </c>
      <c r="AB121" s="96">
        <f t="shared" si="88"/>
        <v>0</v>
      </c>
      <c r="AC121" s="5"/>
    </row>
    <row r="122" spans="1:29" s="87" customFormat="1" ht="25.5">
      <c r="A122" s="37" t="s">
        <v>156</v>
      </c>
      <c r="B122" s="38" t="s">
        <v>157</v>
      </c>
      <c r="C122" s="61" t="s">
        <v>15</v>
      </c>
      <c r="D122" s="62">
        <v>0</v>
      </c>
      <c r="E122" s="63">
        <v>12.47</v>
      </c>
      <c r="F122" s="63"/>
      <c r="G122" s="63">
        <v>10.14</v>
      </c>
      <c r="H122" s="64">
        <f t="shared" si="76"/>
        <v>0</v>
      </c>
      <c r="I122" s="155" t="s">
        <v>457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77"/>
        <v>0</v>
      </c>
      <c r="U122" s="65">
        <f t="shared" si="78"/>
        <v>0</v>
      </c>
      <c r="V122" s="65">
        <f t="shared" si="79"/>
        <v>0</v>
      </c>
      <c r="W122" s="42">
        <v>0</v>
      </c>
      <c r="X122" s="42">
        <f t="shared" si="81"/>
        <v>0</v>
      </c>
      <c r="Y122" s="43">
        <f t="shared" si="82"/>
        <v>0</v>
      </c>
      <c r="Z122" s="96">
        <f t="shared" si="87"/>
        <v>0</v>
      </c>
      <c r="AA122" s="96">
        <f t="shared" si="86"/>
        <v>0</v>
      </c>
      <c r="AB122" s="96">
        <f t="shared" si="88"/>
        <v>0</v>
      </c>
      <c r="AC122" s="5"/>
    </row>
    <row r="123" spans="1:29" s="87" customFormat="1">
      <c r="A123" s="37" t="s">
        <v>158</v>
      </c>
      <c r="B123" s="38" t="s">
        <v>159</v>
      </c>
      <c r="C123" s="61" t="s">
        <v>15</v>
      </c>
      <c r="D123" s="62">
        <v>0</v>
      </c>
      <c r="E123" s="63">
        <v>8.1999999999999993</v>
      </c>
      <c r="F123" s="63"/>
      <c r="G123" s="63">
        <v>6.67</v>
      </c>
      <c r="H123" s="64">
        <f t="shared" si="76"/>
        <v>0</v>
      </c>
      <c r="I123" s="155" t="s">
        <v>458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77"/>
        <v>0</v>
      </c>
      <c r="U123" s="65">
        <f t="shared" si="78"/>
        <v>0</v>
      </c>
      <c r="V123" s="65">
        <f t="shared" si="79"/>
        <v>0</v>
      </c>
      <c r="W123" s="42">
        <v>0</v>
      </c>
      <c r="X123" s="42">
        <f t="shared" si="81"/>
        <v>0</v>
      </c>
      <c r="Y123" s="43">
        <f t="shared" si="82"/>
        <v>0</v>
      </c>
      <c r="Z123" s="96">
        <f t="shared" si="87"/>
        <v>0</v>
      </c>
      <c r="AA123" s="96">
        <f t="shared" si="86"/>
        <v>0</v>
      </c>
      <c r="AB123" s="96">
        <f t="shared" si="88"/>
        <v>0</v>
      </c>
      <c r="AC123" s="5"/>
    </row>
    <row r="124" spans="1:29" s="87" customFormat="1">
      <c r="A124" s="37" t="s">
        <v>160</v>
      </c>
      <c r="B124" s="38" t="s">
        <v>161</v>
      </c>
      <c r="C124" s="61" t="s">
        <v>15</v>
      </c>
      <c r="D124" s="62">
        <v>0</v>
      </c>
      <c r="E124" s="63">
        <v>5.2</v>
      </c>
      <c r="F124" s="63"/>
      <c r="G124" s="63">
        <v>4.2300000000000004</v>
      </c>
      <c r="H124" s="64">
        <f t="shared" si="76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77"/>
        <v>0</v>
      </c>
      <c r="U124" s="65">
        <f t="shared" si="78"/>
        <v>0</v>
      </c>
      <c r="V124" s="65">
        <f t="shared" si="79"/>
        <v>0</v>
      </c>
      <c r="W124" s="42">
        <v>0</v>
      </c>
      <c r="X124" s="42">
        <f t="shared" si="81"/>
        <v>0</v>
      </c>
      <c r="Y124" s="43">
        <f t="shared" si="82"/>
        <v>0</v>
      </c>
      <c r="Z124" s="96">
        <f t="shared" si="87"/>
        <v>0</v>
      </c>
      <c r="AA124" s="96">
        <f t="shared" si="86"/>
        <v>0</v>
      </c>
      <c r="AB124" s="96">
        <f t="shared" si="88"/>
        <v>0</v>
      </c>
      <c r="AC124" s="5"/>
    </row>
    <row r="125" spans="1:29">
      <c r="A125" s="37" t="s">
        <v>162</v>
      </c>
      <c r="B125" s="38" t="s">
        <v>163</v>
      </c>
      <c r="C125" s="37" t="s">
        <v>15</v>
      </c>
      <c r="D125" s="39">
        <v>2</v>
      </c>
      <c r="E125" s="40">
        <v>4.78</v>
      </c>
      <c r="F125" s="40"/>
      <c r="G125" s="40">
        <v>3.89</v>
      </c>
      <c r="H125" s="41">
        <f t="shared" si="76"/>
        <v>9.56</v>
      </c>
      <c r="I125" s="154" t="s">
        <v>446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77"/>
        <v>2</v>
      </c>
      <c r="U125" s="65">
        <f t="shared" si="78"/>
        <v>0</v>
      </c>
      <c r="V125" s="65">
        <f t="shared" si="79"/>
        <v>0</v>
      </c>
      <c r="W125" s="42">
        <f t="shared" si="80"/>
        <v>1</v>
      </c>
      <c r="X125" s="42">
        <f t="shared" si="81"/>
        <v>0</v>
      </c>
      <c r="Y125" s="43">
        <f t="shared" si="82"/>
        <v>1</v>
      </c>
      <c r="Z125" s="96">
        <f t="shared" ref="Z125:Z131" si="89">(J125+K125+L125+M125+N125)*E125</f>
        <v>9.56</v>
      </c>
      <c r="AA125" s="96">
        <f t="shared" si="86"/>
        <v>0</v>
      </c>
      <c r="AB125" s="96">
        <f t="shared" ref="AB125:AB131" si="90">(J125+K125+L125+M125+N125+O125)*E125</f>
        <v>9.56</v>
      </c>
      <c r="AC125" s="5"/>
    </row>
    <row r="126" spans="1:29">
      <c r="A126" s="37" t="s">
        <v>164</v>
      </c>
      <c r="B126" s="38" t="s">
        <v>165</v>
      </c>
      <c r="C126" s="37" t="s">
        <v>15</v>
      </c>
      <c r="D126" s="39">
        <v>4</v>
      </c>
      <c r="E126" s="40">
        <v>7.24</v>
      </c>
      <c r="F126" s="40"/>
      <c r="G126" s="40">
        <v>5.89</v>
      </c>
      <c r="H126" s="41">
        <f t="shared" si="76"/>
        <v>28.96</v>
      </c>
      <c r="I126" s="154" t="s">
        <v>446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77"/>
        <v>4</v>
      </c>
      <c r="U126" s="65">
        <f t="shared" si="78"/>
        <v>0</v>
      </c>
      <c r="V126" s="65">
        <f t="shared" si="79"/>
        <v>0</v>
      </c>
      <c r="W126" s="42">
        <f t="shared" si="80"/>
        <v>1</v>
      </c>
      <c r="X126" s="42">
        <f t="shared" si="81"/>
        <v>0</v>
      </c>
      <c r="Y126" s="43">
        <f t="shared" si="82"/>
        <v>1</v>
      </c>
      <c r="Z126" s="96">
        <f t="shared" si="89"/>
        <v>28.96</v>
      </c>
      <c r="AA126" s="96">
        <f t="shared" si="86"/>
        <v>0</v>
      </c>
      <c r="AB126" s="96">
        <f t="shared" si="90"/>
        <v>28.96</v>
      </c>
      <c r="AC126" s="5"/>
    </row>
    <row r="127" spans="1:29">
      <c r="A127" s="37" t="s">
        <v>166</v>
      </c>
      <c r="B127" s="38" t="s">
        <v>167</v>
      </c>
      <c r="C127" s="37" t="s">
        <v>15</v>
      </c>
      <c r="D127" s="39">
        <v>2</v>
      </c>
      <c r="E127" s="40">
        <v>87.34</v>
      </c>
      <c r="F127" s="40"/>
      <c r="G127" s="40">
        <v>71.010000000000005</v>
      </c>
      <c r="H127" s="41">
        <f t="shared" si="76"/>
        <v>174.68</v>
      </c>
      <c r="I127" s="154" t="s">
        <v>446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77"/>
        <v>2</v>
      </c>
      <c r="U127" s="65">
        <f t="shared" si="78"/>
        <v>0</v>
      </c>
      <c r="V127" s="65">
        <f t="shared" si="79"/>
        <v>0</v>
      </c>
      <c r="W127" s="42">
        <f t="shared" si="80"/>
        <v>1</v>
      </c>
      <c r="X127" s="42">
        <f t="shared" si="81"/>
        <v>0</v>
      </c>
      <c r="Y127" s="43">
        <f t="shared" si="82"/>
        <v>1</v>
      </c>
      <c r="Z127" s="96">
        <f t="shared" si="89"/>
        <v>174.68</v>
      </c>
      <c r="AA127" s="96">
        <f t="shared" si="86"/>
        <v>0</v>
      </c>
      <c r="AB127" s="96">
        <f t="shared" si="90"/>
        <v>174.68</v>
      </c>
      <c r="AC127" s="5"/>
    </row>
    <row r="128" spans="1:29">
      <c r="A128" s="37" t="s">
        <v>168</v>
      </c>
      <c r="B128" s="38" t="s">
        <v>169</v>
      </c>
      <c r="C128" s="37" t="s">
        <v>15</v>
      </c>
      <c r="D128" s="39">
        <v>2</v>
      </c>
      <c r="E128" s="40">
        <v>128.97999999999999</v>
      </c>
      <c r="F128" s="40"/>
      <c r="G128" s="40">
        <v>104.86</v>
      </c>
      <c r="H128" s="41">
        <f t="shared" si="76"/>
        <v>257.95999999999998</v>
      </c>
      <c r="I128" s="154" t="s">
        <v>446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77"/>
        <v>2</v>
      </c>
      <c r="U128" s="65">
        <f t="shared" si="78"/>
        <v>0</v>
      </c>
      <c r="V128" s="65">
        <f t="shared" si="79"/>
        <v>0</v>
      </c>
      <c r="W128" s="42">
        <f t="shared" si="80"/>
        <v>1</v>
      </c>
      <c r="X128" s="42">
        <f t="shared" si="81"/>
        <v>0</v>
      </c>
      <c r="Y128" s="43">
        <f t="shared" si="82"/>
        <v>1</v>
      </c>
      <c r="Z128" s="96">
        <f t="shared" si="89"/>
        <v>257.95999999999998</v>
      </c>
      <c r="AA128" s="96">
        <f t="shared" si="86"/>
        <v>0</v>
      </c>
      <c r="AB128" s="96">
        <f t="shared" si="90"/>
        <v>257.95999999999998</v>
      </c>
      <c r="AC128" s="5"/>
    </row>
    <row r="129" spans="1:29">
      <c r="A129" s="37" t="s">
        <v>170</v>
      </c>
      <c r="B129" s="38" t="s">
        <v>171</v>
      </c>
      <c r="C129" s="37" t="s">
        <v>15</v>
      </c>
      <c r="D129" s="39">
        <v>2</v>
      </c>
      <c r="E129" s="40">
        <v>114.25</v>
      </c>
      <c r="F129" s="40"/>
      <c r="G129" s="40">
        <v>92.89</v>
      </c>
      <c r="H129" s="41">
        <f t="shared" si="76"/>
        <v>228.5</v>
      </c>
      <c r="I129" s="154" t="s">
        <v>446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77"/>
        <v>2</v>
      </c>
      <c r="U129" s="65">
        <f t="shared" si="78"/>
        <v>0</v>
      </c>
      <c r="V129" s="65">
        <f t="shared" si="79"/>
        <v>0</v>
      </c>
      <c r="W129" s="42">
        <f t="shared" si="80"/>
        <v>1</v>
      </c>
      <c r="X129" s="42">
        <f t="shared" si="81"/>
        <v>0</v>
      </c>
      <c r="Y129" s="43">
        <f t="shared" si="82"/>
        <v>1</v>
      </c>
      <c r="Z129" s="96">
        <f t="shared" si="89"/>
        <v>228.5</v>
      </c>
      <c r="AA129" s="96">
        <f t="shared" si="86"/>
        <v>0</v>
      </c>
      <c r="AB129" s="96">
        <f t="shared" si="90"/>
        <v>228.5</v>
      </c>
      <c r="AC129" s="5"/>
    </row>
    <row r="130" spans="1:29">
      <c r="A130" s="37" t="s">
        <v>172</v>
      </c>
      <c r="B130" s="38" t="s">
        <v>173</v>
      </c>
      <c r="C130" s="37" t="s">
        <v>15</v>
      </c>
      <c r="D130" s="39">
        <v>2</v>
      </c>
      <c r="E130" s="40">
        <v>74.77</v>
      </c>
      <c r="F130" s="40"/>
      <c r="G130" s="40">
        <v>60.79</v>
      </c>
      <c r="H130" s="41">
        <f t="shared" si="76"/>
        <v>149.54</v>
      </c>
      <c r="I130" s="154" t="s">
        <v>446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77"/>
        <v>2</v>
      </c>
      <c r="U130" s="65">
        <f t="shared" si="78"/>
        <v>0</v>
      </c>
      <c r="V130" s="65">
        <f t="shared" si="79"/>
        <v>0</v>
      </c>
      <c r="W130" s="42">
        <f t="shared" si="80"/>
        <v>1</v>
      </c>
      <c r="X130" s="42">
        <f t="shared" si="81"/>
        <v>0</v>
      </c>
      <c r="Y130" s="43">
        <f t="shared" si="82"/>
        <v>1</v>
      </c>
      <c r="Z130" s="96">
        <f t="shared" si="89"/>
        <v>149.54</v>
      </c>
      <c r="AA130" s="96">
        <f t="shared" si="86"/>
        <v>0</v>
      </c>
      <c r="AB130" s="96">
        <f t="shared" si="90"/>
        <v>149.54</v>
      </c>
      <c r="AC130" s="5"/>
    </row>
    <row r="131" spans="1:29">
      <c r="A131" s="37" t="s">
        <v>174</v>
      </c>
      <c r="B131" s="38" t="s">
        <v>175</v>
      </c>
      <c r="C131" s="37" t="s">
        <v>15</v>
      </c>
      <c r="D131" s="39">
        <v>8</v>
      </c>
      <c r="E131" s="40">
        <v>71.599999999999994</v>
      </c>
      <c r="F131" s="40"/>
      <c r="G131" s="40">
        <v>58.21</v>
      </c>
      <c r="H131" s="41">
        <f t="shared" si="76"/>
        <v>572.79999999999995</v>
      </c>
      <c r="I131" s="154" t="s">
        <v>446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77"/>
        <v>8</v>
      </c>
      <c r="U131" s="65">
        <f t="shared" si="78"/>
        <v>0</v>
      </c>
      <c r="V131" s="65">
        <f t="shared" si="79"/>
        <v>0</v>
      </c>
      <c r="W131" s="42">
        <f t="shared" si="80"/>
        <v>1</v>
      </c>
      <c r="X131" s="42">
        <f t="shared" si="81"/>
        <v>0</v>
      </c>
      <c r="Y131" s="43">
        <f t="shared" si="82"/>
        <v>1</v>
      </c>
      <c r="Z131" s="96">
        <f t="shared" si="89"/>
        <v>572.79999999999995</v>
      </c>
      <c r="AA131" s="96">
        <f t="shared" si="86"/>
        <v>0</v>
      </c>
      <c r="AB131" s="96">
        <f t="shared" si="90"/>
        <v>572.79999999999995</v>
      </c>
      <c r="AC131" s="5"/>
    </row>
    <row r="132" spans="1:29" s="87" customFormat="1">
      <c r="A132" s="37" t="s">
        <v>176</v>
      </c>
      <c r="B132" s="38" t="s">
        <v>177</v>
      </c>
      <c r="C132" s="61" t="s">
        <v>15</v>
      </c>
      <c r="D132" s="62">
        <v>0</v>
      </c>
      <c r="E132" s="63">
        <v>8.15</v>
      </c>
      <c r="F132" s="63"/>
      <c r="G132" s="63">
        <v>6.63</v>
      </c>
      <c r="H132" s="64">
        <f t="shared" si="76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77"/>
        <v>0</v>
      </c>
      <c r="U132" s="65">
        <f t="shared" si="78"/>
        <v>0</v>
      </c>
      <c r="V132" s="65">
        <f t="shared" si="79"/>
        <v>0</v>
      </c>
      <c r="W132" s="42">
        <v>0</v>
      </c>
      <c r="X132" s="42">
        <f t="shared" si="81"/>
        <v>0</v>
      </c>
      <c r="Y132" s="43">
        <f t="shared" si="82"/>
        <v>0</v>
      </c>
      <c r="Z132" s="96">
        <f>(J132+K132+L132+M132)*E132</f>
        <v>0</v>
      </c>
      <c r="AA132" s="96">
        <f t="shared" si="86"/>
        <v>0</v>
      </c>
      <c r="AB132" s="96">
        <f>(J132+K132+L132+M132+N132)*E132</f>
        <v>0</v>
      </c>
      <c r="AC132" s="5"/>
    </row>
    <row r="133" spans="1:29" s="87" customFormat="1">
      <c r="A133" s="37" t="s">
        <v>178</v>
      </c>
      <c r="B133" s="38" t="s">
        <v>179</v>
      </c>
      <c r="C133" s="61" t="s">
        <v>15</v>
      </c>
      <c r="D133" s="62">
        <v>0</v>
      </c>
      <c r="E133" s="63">
        <v>17.760000000000002</v>
      </c>
      <c r="F133" s="63"/>
      <c r="G133" s="63">
        <v>14.44</v>
      </c>
      <c r="H133" s="64">
        <f t="shared" si="76"/>
        <v>0</v>
      </c>
      <c r="I133" s="155" t="s">
        <v>459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77"/>
        <v>0</v>
      </c>
      <c r="U133" s="65">
        <f t="shared" si="78"/>
        <v>0</v>
      </c>
      <c r="V133" s="65">
        <f t="shared" si="79"/>
        <v>0</v>
      </c>
      <c r="W133" s="42">
        <v>0</v>
      </c>
      <c r="X133" s="42">
        <f t="shared" si="81"/>
        <v>0</v>
      </c>
      <c r="Y133" s="43">
        <f t="shared" si="82"/>
        <v>0</v>
      </c>
      <c r="Z133" s="96">
        <f>(J133+K133+L133+M133)*E133</f>
        <v>0</v>
      </c>
      <c r="AA133" s="96">
        <f t="shared" si="86"/>
        <v>0</v>
      </c>
      <c r="AB133" s="96">
        <f>(J133+K133+L133+M133+N133)*E133</f>
        <v>0</v>
      </c>
      <c r="AC133" s="5"/>
    </row>
    <row r="134" spans="1:29" s="87" customFormat="1">
      <c r="A134" s="37" t="s">
        <v>180</v>
      </c>
      <c r="B134" s="38" t="s">
        <v>181</v>
      </c>
      <c r="C134" s="61" t="s">
        <v>15</v>
      </c>
      <c r="D134" s="62">
        <v>0</v>
      </c>
      <c r="E134" s="63">
        <v>19.2</v>
      </c>
      <c r="F134" s="63"/>
      <c r="G134" s="63">
        <v>15.61</v>
      </c>
      <c r="H134" s="64">
        <f t="shared" si="76"/>
        <v>0</v>
      </c>
      <c r="I134" s="155" t="s">
        <v>460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77"/>
        <v>0</v>
      </c>
      <c r="U134" s="65">
        <f t="shared" si="78"/>
        <v>0</v>
      </c>
      <c r="V134" s="65">
        <f t="shared" si="79"/>
        <v>0</v>
      </c>
      <c r="W134" s="42">
        <v>0</v>
      </c>
      <c r="X134" s="42">
        <f t="shared" si="81"/>
        <v>0</v>
      </c>
      <c r="Y134" s="43">
        <f t="shared" si="82"/>
        <v>0</v>
      </c>
      <c r="Z134" s="96">
        <f>(J134+K134+L134+M134)*E134</f>
        <v>0</v>
      </c>
      <c r="AA134" s="96">
        <f t="shared" si="86"/>
        <v>0</v>
      </c>
      <c r="AB134" s="96">
        <f>(J134+K134+L134+M134+N134)*E134</f>
        <v>0</v>
      </c>
      <c r="AC134" s="5"/>
    </row>
    <row r="135" spans="1:29" s="87" customFormat="1">
      <c r="A135" s="37" t="s">
        <v>182</v>
      </c>
      <c r="B135" s="38" t="s">
        <v>183</v>
      </c>
      <c r="C135" s="61" t="s">
        <v>15</v>
      </c>
      <c r="D135" s="62">
        <v>0</v>
      </c>
      <c r="E135" s="63">
        <v>12.46</v>
      </c>
      <c r="F135" s="63"/>
      <c r="G135" s="63">
        <v>10.130000000000001</v>
      </c>
      <c r="H135" s="64">
        <f t="shared" si="76"/>
        <v>0</v>
      </c>
      <c r="I135" s="155" t="s">
        <v>461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77"/>
        <v>0</v>
      </c>
      <c r="U135" s="65">
        <f t="shared" si="78"/>
        <v>0</v>
      </c>
      <c r="V135" s="65">
        <f t="shared" si="79"/>
        <v>0</v>
      </c>
      <c r="W135" s="42">
        <v>0</v>
      </c>
      <c r="X135" s="42">
        <f t="shared" si="81"/>
        <v>0</v>
      </c>
      <c r="Y135" s="43">
        <f t="shared" si="82"/>
        <v>0</v>
      </c>
      <c r="Z135" s="96">
        <f>(J135+K135+L135+M135)*E135</f>
        <v>0</v>
      </c>
      <c r="AA135" s="96">
        <f t="shared" si="86"/>
        <v>0</v>
      </c>
      <c r="AB135" s="96">
        <f>(J135+K135+L135+M135+N135)*E135</f>
        <v>0</v>
      </c>
      <c r="AC135" s="5"/>
    </row>
    <row r="136" spans="1:29" s="87" customFormat="1">
      <c r="A136" s="182" t="s">
        <v>184</v>
      </c>
      <c r="B136" s="183" t="s">
        <v>185</v>
      </c>
      <c r="C136" s="184" t="s">
        <v>15</v>
      </c>
      <c r="D136" s="62">
        <v>0</v>
      </c>
      <c r="E136" s="63">
        <v>24.28</v>
      </c>
      <c r="F136" s="180"/>
      <c r="G136" s="63">
        <v>19.739999999999998</v>
      </c>
      <c r="H136" s="64">
        <f t="shared" si="76"/>
        <v>0</v>
      </c>
      <c r="I136" s="185" t="s">
        <v>462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77"/>
        <v>0</v>
      </c>
      <c r="U136" s="65">
        <f t="shared" si="78"/>
        <v>0</v>
      </c>
      <c r="V136" s="65">
        <f t="shared" si="79"/>
        <v>0</v>
      </c>
      <c r="W136" s="42">
        <v>0</v>
      </c>
      <c r="X136" s="42">
        <f t="shared" si="81"/>
        <v>0</v>
      </c>
      <c r="Y136" s="43">
        <f t="shared" si="82"/>
        <v>0</v>
      </c>
      <c r="Z136" s="96">
        <f>(J136+K136+L136+M136)*E136</f>
        <v>0</v>
      </c>
      <c r="AA136" s="96">
        <f t="shared" si="86"/>
        <v>0</v>
      </c>
      <c r="AB136" s="96">
        <f>(J136+K136+L136+M136+N136)*E136</f>
        <v>0</v>
      </c>
      <c r="AC136" s="5"/>
    </row>
    <row r="137" spans="1:29" s="87" customFormat="1">
      <c r="A137" s="37" t="s">
        <v>186</v>
      </c>
      <c r="B137" s="38" t="s">
        <v>187</v>
      </c>
      <c r="C137" s="61" t="s">
        <v>15</v>
      </c>
      <c r="D137" s="62">
        <v>8</v>
      </c>
      <c r="E137" s="63">
        <v>63.73</v>
      </c>
      <c r="F137" s="39">
        <f t="shared" ref="F137:F138" si="91">U137</f>
        <v>8</v>
      </c>
      <c r="G137" s="63">
        <v>51.81</v>
      </c>
      <c r="H137" s="64">
        <f t="shared" si="76"/>
        <v>509.84</v>
      </c>
      <c r="I137" s="208" t="s">
        <v>499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77"/>
        <v>0</v>
      </c>
      <c r="U137" s="65">
        <f t="shared" si="78"/>
        <v>8</v>
      </c>
      <c r="V137" s="65">
        <f t="shared" si="79"/>
        <v>509.84</v>
      </c>
      <c r="W137" s="42">
        <f t="shared" si="80"/>
        <v>0</v>
      </c>
      <c r="X137" s="42">
        <f t="shared" si="81"/>
        <v>0</v>
      </c>
      <c r="Y137" s="43">
        <f t="shared" si="82"/>
        <v>0</v>
      </c>
      <c r="Z137" s="96">
        <f>(J137+K137+L137+M137+N137)*E137</f>
        <v>0</v>
      </c>
      <c r="AA137" s="96">
        <f t="shared" ref="AA137:AA138" si="92"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188</v>
      </c>
      <c r="B138" s="38" t="s">
        <v>189</v>
      </c>
      <c r="C138" s="61" t="s">
        <v>15</v>
      </c>
      <c r="D138" s="62">
        <v>1</v>
      </c>
      <c r="E138" s="63">
        <v>77.8</v>
      </c>
      <c r="F138" s="39">
        <f t="shared" si="91"/>
        <v>1</v>
      </c>
      <c r="G138" s="63">
        <v>63.25</v>
      </c>
      <c r="H138" s="64">
        <f t="shared" si="76"/>
        <v>77.8</v>
      </c>
      <c r="I138" s="208" t="s">
        <v>500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77"/>
        <v>0</v>
      </c>
      <c r="U138" s="65">
        <f t="shared" si="78"/>
        <v>1</v>
      </c>
      <c r="V138" s="65">
        <f t="shared" si="79"/>
        <v>77.8</v>
      </c>
      <c r="W138" s="42">
        <f t="shared" si="80"/>
        <v>0</v>
      </c>
      <c r="X138" s="42">
        <f t="shared" si="81"/>
        <v>0</v>
      </c>
      <c r="Y138" s="43">
        <f t="shared" si="82"/>
        <v>0</v>
      </c>
      <c r="Z138" s="96">
        <f>(J138+K138+L138+M138+N138)*E138</f>
        <v>0</v>
      </c>
      <c r="AA138" s="96">
        <f t="shared" si="92"/>
        <v>0</v>
      </c>
      <c r="AB138" s="96">
        <f>(J138+K138+L138+M138+N138+O138)*E138</f>
        <v>0</v>
      </c>
      <c r="AC138" s="5"/>
    </row>
    <row r="139" spans="1:29" s="87" customFormat="1">
      <c r="A139" s="192" t="s">
        <v>190</v>
      </c>
      <c r="B139" s="193" t="s">
        <v>191</v>
      </c>
      <c r="C139" s="194" t="s">
        <v>105</v>
      </c>
      <c r="D139" s="62">
        <v>0</v>
      </c>
      <c r="E139" s="63">
        <v>9.2899999999999991</v>
      </c>
      <c r="F139" s="195"/>
      <c r="G139" s="63">
        <v>7.55</v>
      </c>
      <c r="H139" s="64">
        <f t="shared" si="76"/>
        <v>0</v>
      </c>
      <c r="I139" s="196" t="s">
        <v>463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77"/>
        <v>0</v>
      </c>
      <c r="U139" s="65">
        <f t="shared" si="78"/>
        <v>0</v>
      </c>
      <c r="V139" s="65">
        <f t="shared" si="79"/>
        <v>0</v>
      </c>
      <c r="W139" s="42">
        <v>0</v>
      </c>
      <c r="X139" s="42">
        <f t="shared" si="81"/>
        <v>0</v>
      </c>
      <c r="Y139" s="43">
        <f t="shared" si="82"/>
        <v>0</v>
      </c>
      <c r="Z139" s="96">
        <f>(J139+K139+L139+M139)*E139</f>
        <v>0</v>
      </c>
      <c r="AA139" s="96">
        <f t="shared" ref="AA139:AA145" si="93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192</v>
      </c>
      <c r="B140" s="38" t="s">
        <v>193</v>
      </c>
      <c r="C140" s="61" t="s">
        <v>105</v>
      </c>
      <c r="D140" s="62">
        <v>0</v>
      </c>
      <c r="E140" s="63">
        <v>11</v>
      </c>
      <c r="F140" s="63"/>
      <c r="G140" s="63">
        <v>8.94</v>
      </c>
      <c r="H140" s="64">
        <f t="shared" si="76"/>
        <v>0</v>
      </c>
      <c r="I140" s="155" t="s">
        <v>464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77"/>
        <v>0</v>
      </c>
      <c r="U140" s="65">
        <f t="shared" si="78"/>
        <v>0</v>
      </c>
      <c r="V140" s="65">
        <f t="shared" si="79"/>
        <v>0</v>
      </c>
      <c r="W140" s="42">
        <v>0</v>
      </c>
      <c r="X140" s="42">
        <f t="shared" si="81"/>
        <v>0</v>
      </c>
      <c r="Y140" s="43">
        <f t="shared" si="82"/>
        <v>0</v>
      </c>
      <c r="Z140" s="96">
        <f>(J140+K140+L140+M140)*E140</f>
        <v>0</v>
      </c>
      <c r="AA140" s="96">
        <f t="shared" si="93"/>
        <v>0</v>
      </c>
      <c r="AB140" s="96">
        <f>(J140+K140+L140+M140+N140)*E140</f>
        <v>0</v>
      </c>
      <c r="AC140" s="5"/>
    </row>
    <row r="141" spans="1:29" s="87" customFormat="1">
      <c r="A141" s="37" t="s">
        <v>194</v>
      </c>
      <c r="B141" s="38" t="s">
        <v>195</v>
      </c>
      <c r="C141" s="61" t="s">
        <v>105</v>
      </c>
      <c r="D141" s="62">
        <v>0</v>
      </c>
      <c r="E141" s="63">
        <v>15.14</v>
      </c>
      <c r="F141" s="63"/>
      <c r="G141" s="63">
        <v>12.31</v>
      </c>
      <c r="H141" s="64">
        <f t="shared" si="76"/>
        <v>0</v>
      </c>
      <c r="I141" s="155" t="s">
        <v>465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77"/>
        <v>0</v>
      </c>
      <c r="U141" s="65">
        <f t="shared" si="78"/>
        <v>0</v>
      </c>
      <c r="V141" s="65">
        <f t="shared" si="79"/>
        <v>0</v>
      </c>
      <c r="W141" s="42">
        <v>0</v>
      </c>
      <c r="X141" s="42">
        <f t="shared" si="81"/>
        <v>0</v>
      </c>
      <c r="Y141" s="43">
        <f t="shared" si="82"/>
        <v>0</v>
      </c>
      <c r="Z141" s="96">
        <f>(J141+K141+L141+M141)*E141</f>
        <v>0</v>
      </c>
      <c r="AA141" s="96">
        <f t="shared" si="93"/>
        <v>0</v>
      </c>
      <c r="AB141" s="96">
        <f>(J141+K141+L141+M141+N141)*E141</f>
        <v>0</v>
      </c>
      <c r="AC141" s="5"/>
    </row>
    <row r="142" spans="1:29" s="87" customFormat="1">
      <c r="A142" s="37" t="s">
        <v>196</v>
      </c>
      <c r="B142" s="38" t="s">
        <v>197</v>
      </c>
      <c r="C142" s="61" t="s">
        <v>105</v>
      </c>
      <c r="D142" s="62">
        <v>0</v>
      </c>
      <c r="E142" s="63">
        <v>32.32</v>
      </c>
      <c r="F142" s="63"/>
      <c r="G142" s="63">
        <v>26.28</v>
      </c>
      <c r="H142" s="64">
        <f t="shared" si="76"/>
        <v>0</v>
      </c>
      <c r="I142" s="155" t="s">
        <v>466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77"/>
        <v>0</v>
      </c>
      <c r="U142" s="65">
        <f t="shared" si="78"/>
        <v>0</v>
      </c>
      <c r="V142" s="65">
        <f t="shared" si="79"/>
        <v>0</v>
      </c>
      <c r="W142" s="42">
        <v>0</v>
      </c>
      <c r="X142" s="42">
        <f t="shared" si="81"/>
        <v>0</v>
      </c>
      <c r="Y142" s="43">
        <f t="shared" si="82"/>
        <v>0</v>
      </c>
      <c r="Z142" s="96">
        <f>(J142+K142+L142+M142)*E142</f>
        <v>0</v>
      </c>
      <c r="AA142" s="96">
        <f t="shared" si="93"/>
        <v>0</v>
      </c>
      <c r="AB142" s="96">
        <f>(J142+K142+L142+M142+N142)*E142</f>
        <v>0</v>
      </c>
      <c r="AC142" s="5"/>
    </row>
    <row r="143" spans="1:29">
      <c r="A143" s="37" t="s">
        <v>198</v>
      </c>
      <c r="B143" s="38" t="s">
        <v>199</v>
      </c>
      <c r="C143" s="37" t="s">
        <v>105</v>
      </c>
      <c r="D143" s="39">
        <v>36</v>
      </c>
      <c r="E143" s="40">
        <v>36.049999999999997</v>
      </c>
      <c r="F143" s="40"/>
      <c r="G143" s="40">
        <v>29.31</v>
      </c>
      <c r="H143" s="41">
        <f t="shared" si="76"/>
        <v>1297.8</v>
      </c>
      <c r="I143" s="154" t="s">
        <v>446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77"/>
        <v>36</v>
      </c>
      <c r="U143" s="65">
        <f t="shared" si="78"/>
        <v>0</v>
      </c>
      <c r="V143" s="65">
        <f t="shared" si="79"/>
        <v>0</v>
      </c>
      <c r="W143" s="42">
        <f t="shared" si="80"/>
        <v>1</v>
      </c>
      <c r="X143" s="42">
        <f t="shared" si="81"/>
        <v>0</v>
      </c>
      <c r="Y143" s="43">
        <f t="shared" si="82"/>
        <v>1</v>
      </c>
      <c r="Z143" s="96">
        <f>(J143+K143+L143+M143+N143)*E143</f>
        <v>1297.8</v>
      </c>
      <c r="AA143" s="96">
        <f t="shared" si="93"/>
        <v>0</v>
      </c>
      <c r="AB143" s="96">
        <f>(J143+K143+L143+M143+N143+O143)*E143</f>
        <v>1297.8</v>
      </c>
      <c r="AC143" s="5"/>
    </row>
    <row r="144" spans="1:29">
      <c r="A144" s="37" t="s">
        <v>200</v>
      </c>
      <c r="B144" s="38" t="s">
        <v>201</v>
      </c>
      <c r="C144" s="37" t="s">
        <v>15</v>
      </c>
      <c r="D144" s="39">
        <v>6</v>
      </c>
      <c r="E144" s="40">
        <v>4.17</v>
      </c>
      <c r="F144" s="40"/>
      <c r="G144" s="40">
        <v>3.39</v>
      </c>
      <c r="H144" s="41">
        <f t="shared" si="76"/>
        <v>25.02</v>
      </c>
      <c r="I144" s="154" t="s">
        <v>446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77"/>
        <v>6</v>
      </c>
      <c r="U144" s="65">
        <f t="shared" si="78"/>
        <v>0</v>
      </c>
      <c r="V144" s="65">
        <f t="shared" si="79"/>
        <v>0</v>
      </c>
      <c r="W144" s="42">
        <f t="shared" si="80"/>
        <v>1</v>
      </c>
      <c r="X144" s="42">
        <f t="shared" si="81"/>
        <v>0</v>
      </c>
      <c r="Y144" s="43">
        <f t="shared" si="82"/>
        <v>1</v>
      </c>
      <c r="Z144" s="96">
        <f>(J144+K144+L144+M144+N144)*E144</f>
        <v>25.02</v>
      </c>
      <c r="AA144" s="96">
        <f t="shared" si="93"/>
        <v>0</v>
      </c>
      <c r="AB144" s="96">
        <f>(J144+K144+L144+M144+N144+O144)*E144</f>
        <v>25.02</v>
      </c>
      <c r="AC144" s="5"/>
    </row>
    <row r="145" spans="1:29">
      <c r="A145" s="182" t="s">
        <v>202</v>
      </c>
      <c r="B145" s="183" t="s">
        <v>203</v>
      </c>
      <c r="C145" s="182" t="s">
        <v>15</v>
      </c>
      <c r="D145" s="39">
        <v>2</v>
      </c>
      <c r="E145" s="40">
        <v>24.94</v>
      </c>
      <c r="F145" s="186"/>
      <c r="G145" s="40">
        <v>20.28</v>
      </c>
      <c r="H145" s="41">
        <f t="shared" si="76"/>
        <v>49.88</v>
      </c>
      <c r="I145" s="187" t="s">
        <v>446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77"/>
        <v>2</v>
      </c>
      <c r="U145" s="65">
        <f t="shared" si="78"/>
        <v>0</v>
      </c>
      <c r="V145" s="65">
        <f t="shared" si="79"/>
        <v>0</v>
      </c>
      <c r="W145" s="42">
        <f t="shared" si="80"/>
        <v>1</v>
      </c>
      <c r="X145" s="42">
        <f t="shared" si="81"/>
        <v>0</v>
      </c>
      <c r="Y145" s="43">
        <f t="shared" si="82"/>
        <v>1</v>
      </c>
      <c r="Z145" s="96">
        <f>(J145+K145+L145+M145+N145)*E145</f>
        <v>49.88</v>
      </c>
      <c r="AA145" s="96">
        <f t="shared" si="93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204</v>
      </c>
      <c r="B146" s="38" t="s">
        <v>205</v>
      </c>
      <c r="C146" s="61" t="s">
        <v>15</v>
      </c>
      <c r="D146" s="62">
        <v>2</v>
      </c>
      <c r="E146" s="63">
        <v>324.98</v>
      </c>
      <c r="F146" s="39">
        <f t="shared" ref="F146:F147" si="94">U146</f>
        <v>2</v>
      </c>
      <c r="G146" s="63">
        <v>264.20999999999998</v>
      </c>
      <c r="H146" s="64">
        <f t="shared" si="76"/>
        <v>649.96</v>
      </c>
      <c r="I146" s="155" t="s">
        <v>446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77"/>
        <v>0</v>
      </c>
      <c r="U146" s="65">
        <f t="shared" si="78"/>
        <v>2</v>
      </c>
      <c r="V146" s="65">
        <f t="shared" si="79"/>
        <v>649.96</v>
      </c>
      <c r="W146" s="42">
        <f t="shared" si="80"/>
        <v>0</v>
      </c>
      <c r="X146" s="42">
        <f t="shared" si="81"/>
        <v>0</v>
      </c>
      <c r="Y146" s="43">
        <f t="shared" si="82"/>
        <v>0</v>
      </c>
      <c r="Z146" s="96">
        <f>(J146+K146+L146+M146+N146)*E146</f>
        <v>0</v>
      </c>
      <c r="AA146" s="96">
        <f t="shared" ref="AA146:AA147" si="95"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206</v>
      </c>
      <c r="B147" s="38" t="s">
        <v>207</v>
      </c>
      <c r="C147" s="61" t="s">
        <v>15</v>
      </c>
      <c r="D147" s="62">
        <v>4</v>
      </c>
      <c r="E147" s="63">
        <v>222.9</v>
      </c>
      <c r="F147" s="39">
        <f t="shared" si="94"/>
        <v>4</v>
      </c>
      <c r="G147" s="63">
        <v>181.22</v>
      </c>
      <c r="H147" s="64">
        <f t="shared" si="76"/>
        <v>891.6</v>
      </c>
      <c r="I147" s="208" t="s">
        <v>501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77"/>
        <v>0</v>
      </c>
      <c r="U147" s="65">
        <f t="shared" si="78"/>
        <v>4</v>
      </c>
      <c r="V147" s="65">
        <f t="shared" si="79"/>
        <v>891.6</v>
      </c>
      <c r="W147" s="42">
        <f t="shared" si="80"/>
        <v>0</v>
      </c>
      <c r="X147" s="42">
        <f t="shared" si="81"/>
        <v>0</v>
      </c>
      <c r="Y147" s="43">
        <f t="shared" si="82"/>
        <v>0</v>
      </c>
      <c r="Z147" s="96">
        <f>(J147+K147+L147+M147+N147)*E147</f>
        <v>0</v>
      </c>
      <c r="AA147" s="96">
        <f t="shared" si="95"/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77"/>
        <v>0</v>
      </c>
      <c r="U148" s="79"/>
      <c r="V148" s="65">
        <f t="shared" si="79"/>
        <v>0</v>
      </c>
      <c r="W148" s="42">
        <v>0</v>
      </c>
      <c r="X148" s="42">
        <f t="shared" si="81"/>
        <v>0</v>
      </c>
      <c r="Y148" s="43">
        <f t="shared" si="82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208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209</v>
      </c>
      <c r="B150" s="193" t="s">
        <v>210</v>
      </c>
      <c r="C150" s="192" t="s">
        <v>15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96">ROUND(D150*E150,2)</f>
        <v>34.299999999999997</v>
      </c>
      <c r="I150" s="206" t="s">
        <v>446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97">SUM(J150:S150)</f>
        <v>5</v>
      </c>
      <c r="U150" s="65">
        <f t="shared" ref="U150:U170" si="98">D150-T150</f>
        <v>0</v>
      </c>
      <c r="V150" s="65">
        <f t="shared" ref="V150:V171" si="99">U150*E150</f>
        <v>0</v>
      </c>
      <c r="W150" s="42">
        <f t="shared" ref="W150:W170" si="100">(SUM(J150:R150))/D150</f>
        <v>1</v>
      </c>
      <c r="X150" s="42">
        <f t="shared" ref="X150:X171" si="101">IF(D150=0,0,S150/D150)</f>
        <v>0</v>
      </c>
      <c r="Y150" s="43">
        <f t="shared" ref="Y150:Y171" si="102">W150+X150</f>
        <v>1</v>
      </c>
      <c r="Z150" s="96">
        <f t="shared" ref="Z150:Z170" si="103">(J150+K150+L150+M150+N150)*E150</f>
        <v>34.300000000000004</v>
      </c>
      <c r="AA150" s="96">
        <f>Q150*E150</f>
        <v>0</v>
      </c>
      <c r="AB150" s="96">
        <f t="shared" ref="AB150:AB170" si="104">(J150+K150+L150+M150+N150+O150)*E150</f>
        <v>34.300000000000004</v>
      </c>
      <c r="AC150" s="5"/>
    </row>
    <row r="151" spans="1:29">
      <c r="A151" s="37" t="s">
        <v>211</v>
      </c>
      <c r="B151" s="38" t="s">
        <v>212</v>
      </c>
      <c r="C151" s="37" t="s">
        <v>15</v>
      </c>
      <c r="D151" s="39">
        <v>4</v>
      </c>
      <c r="E151" s="40">
        <v>501.8</v>
      </c>
      <c r="F151" s="40"/>
      <c r="G151" s="40">
        <v>407.97</v>
      </c>
      <c r="H151" s="41">
        <f t="shared" si="96"/>
        <v>2007.2</v>
      </c>
      <c r="I151" s="154" t="s">
        <v>446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97"/>
        <v>4</v>
      </c>
      <c r="U151" s="65">
        <f t="shared" si="98"/>
        <v>0</v>
      </c>
      <c r="V151" s="65">
        <f t="shared" si="99"/>
        <v>0</v>
      </c>
      <c r="W151" s="42">
        <f t="shared" si="100"/>
        <v>1</v>
      </c>
      <c r="X151" s="42">
        <f t="shared" si="101"/>
        <v>0</v>
      </c>
      <c r="Y151" s="43">
        <f t="shared" si="102"/>
        <v>1</v>
      </c>
      <c r="Z151" s="96">
        <f t="shared" si="103"/>
        <v>2007.2</v>
      </c>
      <c r="AA151" s="96">
        <f>Q151*E151</f>
        <v>0</v>
      </c>
      <c r="AB151" s="96">
        <f t="shared" si="104"/>
        <v>2007.2</v>
      </c>
      <c r="AC151" s="5"/>
    </row>
    <row r="152" spans="1:29">
      <c r="A152" s="182" t="s">
        <v>213</v>
      </c>
      <c r="B152" s="183" t="s">
        <v>214</v>
      </c>
      <c r="C152" s="182" t="s">
        <v>15</v>
      </c>
      <c r="D152" s="39">
        <v>6</v>
      </c>
      <c r="E152" s="40">
        <v>25.53</v>
      </c>
      <c r="F152" s="186"/>
      <c r="G152" s="40">
        <v>20.76</v>
      </c>
      <c r="H152" s="41">
        <f t="shared" si="96"/>
        <v>153.18</v>
      </c>
      <c r="I152" s="187" t="s">
        <v>446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97"/>
        <v>6</v>
      </c>
      <c r="U152" s="65">
        <f t="shared" si="98"/>
        <v>0</v>
      </c>
      <c r="V152" s="65">
        <f t="shared" si="99"/>
        <v>0</v>
      </c>
      <c r="W152" s="42">
        <f t="shared" si="100"/>
        <v>1</v>
      </c>
      <c r="X152" s="42">
        <f t="shared" si="101"/>
        <v>0</v>
      </c>
      <c r="Y152" s="43">
        <f t="shared" si="102"/>
        <v>1</v>
      </c>
      <c r="Z152" s="96">
        <f t="shared" si="103"/>
        <v>153.18</v>
      </c>
      <c r="AA152" s="96">
        <f>Q152*E152</f>
        <v>0</v>
      </c>
      <c r="AB152" s="96">
        <f t="shared" si="104"/>
        <v>153.18</v>
      </c>
      <c r="AC152" s="5"/>
    </row>
    <row r="153" spans="1:29" s="87" customFormat="1">
      <c r="A153" s="37" t="s">
        <v>215</v>
      </c>
      <c r="B153" s="38" t="s">
        <v>216</v>
      </c>
      <c r="C153" s="61" t="s">
        <v>15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96"/>
        <v>99.64</v>
      </c>
      <c r="I153" s="208" t="s">
        <v>502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97"/>
        <v>0</v>
      </c>
      <c r="U153" s="65">
        <f t="shared" si="98"/>
        <v>4</v>
      </c>
      <c r="V153" s="65">
        <f t="shared" si="99"/>
        <v>99.64</v>
      </c>
      <c r="W153" s="42">
        <f t="shared" si="100"/>
        <v>0</v>
      </c>
      <c r="X153" s="42">
        <f t="shared" si="101"/>
        <v>0</v>
      </c>
      <c r="Y153" s="43">
        <f t="shared" si="102"/>
        <v>0</v>
      </c>
      <c r="Z153" s="96">
        <f t="shared" si="103"/>
        <v>0</v>
      </c>
      <c r="AA153" s="96">
        <f>S153*G153</f>
        <v>0</v>
      </c>
      <c r="AB153" s="96">
        <f t="shared" si="104"/>
        <v>0</v>
      </c>
      <c r="AC153" s="5"/>
    </row>
    <row r="154" spans="1:29">
      <c r="A154" s="192" t="s">
        <v>217</v>
      </c>
      <c r="B154" s="193" t="s">
        <v>218</v>
      </c>
      <c r="C154" s="192" t="s">
        <v>15</v>
      </c>
      <c r="D154" s="39">
        <v>14</v>
      </c>
      <c r="E154" s="40">
        <v>7.4</v>
      </c>
      <c r="F154" s="205"/>
      <c r="G154" s="40">
        <v>6.02</v>
      </c>
      <c r="H154" s="41">
        <f t="shared" si="96"/>
        <v>103.6</v>
      </c>
      <c r="I154" s="206" t="s">
        <v>446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97"/>
        <v>14</v>
      </c>
      <c r="U154" s="65">
        <f t="shared" si="98"/>
        <v>0</v>
      </c>
      <c r="V154" s="65">
        <f t="shared" si="99"/>
        <v>0</v>
      </c>
      <c r="W154" s="42">
        <f t="shared" si="100"/>
        <v>1</v>
      </c>
      <c r="X154" s="42">
        <f t="shared" si="101"/>
        <v>0</v>
      </c>
      <c r="Y154" s="43">
        <f t="shared" si="102"/>
        <v>1</v>
      </c>
      <c r="Z154" s="96">
        <f t="shared" si="103"/>
        <v>103.60000000000001</v>
      </c>
      <c r="AA154" s="96">
        <f>Q154*E154</f>
        <v>0</v>
      </c>
      <c r="AB154" s="96">
        <f t="shared" si="104"/>
        <v>103.60000000000001</v>
      </c>
      <c r="AC154" s="5"/>
    </row>
    <row r="155" spans="1:29" s="87" customFormat="1">
      <c r="A155" s="37" t="s">
        <v>219</v>
      </c>
      <c r="B155" s="38" t="s">
        <v>220</v>
      </c>
      <c r="C155" s="61" t="s">
        <v>15</v>
      </c>
      <c r="D155" s="62">
        <v>1</v>
      </c>
      <c r="E155" s="63">
        <v>1303.8</v>
      </c>
      <c r="F155" s="63"/>
      <c r="G155" s="63">
        <v>1060</v>
      </c>
      <c r="H155" s="64">
        <f t="shared" si="96"/>
        <v>1303.8</v>
      </c>
      <c r="I155" s="155" t="s">
        <v>446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97"/>
        <v>1</v>
      </c>
      <c r="U155" s="65">
        <f t="shared" si="98"/>
        <v>0</v>
      </c>
      <c r="V155" s="65">
        <f t="shared" si="99"/>
        <v>0</v>
      </c>
      <c r="W155" s="42">
        <f t="shared" si="100"/>
        <v>1</v>
      </c>
      <c r="X155" s="42">
        <f t="shared" si="101"/>
        <v>0</v>
      </c>
      <c r="Y155" s="43">
        <f t="shared" si="102"/>
        <v>1</v>
      </c>
      <c r="Z155" s="96">
        <f t="shared" si="103"/>
        <v>1303.8</v>
      </c>
      <c r="AA155" s="96">
        <f>Q155*E155</f>
        <v>0</v>
      </c>
      <c r="AB155" s="96">
        <f t="shared" si="104"/>
        <v>1303.8</v>
      </c>
      <c r="AC155" s="5"/>
    </row>
    <row r="156" spans="1:29">
      <c r="A156" s="37" t="s">
        <v>221</v>
      </c>
      <c r="B156" s="38" t="s">
        <v>222</v>
      </c>
      <c r="C156" s="37" t="s">
        <v>15</v>
      </c>
      <c r="D156" s="39">
        <v>3</v>
      </c>
      <c r="E156" s="40">
        <v>5.26</v>
      </c>
      <c r="F156" s="40"/>
      <c r="G156" s="40">
        <v>4.28</v>
      </c>
      <c r="H156" s="41">
        <f t="shared" si="96"/>
        <v>15.78</v>
      </c>
      <c r="I156" s="154" t="s">
        <v>446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97"/>
        <v>3</v>
      </c>
      <c r="U156" s="65">
        <f t="shared" si="98"/>
        <v>0</v>
      </c>
      <c r="V156" s="65">
        <f t="shared" si="99"/>
        <v>0</v>
      </c>
      <c r="W156" s="42">
        <f t="shared" si="100"/>
        <v>1</v>
      </c>
      <c r="X156" s="42">
        <f t="shared" si="101"/>
        <v>0</v>
      </c>
      <c r="Y156" s="43">
        <f t="shared" si="102"/>
        <v>1</v>
      </c>
      <c r="Z156" s="96">
        <f t="shared" si="103"/>
        <v>15.78</v>
      </c>
      <c r="AA156" s="96">
        <f>Q156*E156</f>
        <v>0</v>
      </c>
      <c r="AB156" s="96">
        <f t="shared" si="104"/>
        <v>15.78</v>
      </c>
      <c r="AC156" s="5"/>
    </row>
    <row r="157" spans="1:29">
      <c r="A157" s="37" t="s">
        <v>223</v>
      </c>
      <c r="B157" s="38" t="s">
        <v>224</v>
      </c>
      <c r="C157" s="37" t="s">
        <v>15</v>
      </c>
      <c r="D157" s="39">
        <v>6</v>
      </c>
      <c r="E157" s="40">
        <v>7.56</v>
      </c>
      <c r="F157" s="40"/>
      <c r="G157" s="40">
        <v>6.15</v>
      </c>
      <c r="H157" s="41">
        <f t="shared" si="96"/>
        <v>45.36</v>
      </c>
      <c r="I157" s="154" t="s">
        <v>446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97"/>
        <v>6</v>
      </c>
      <c r="U157" s="65">
        <f t="shared" si="98"/>
        <v>0</v>
      </c>
      <c r="V157" s="65">
        <f t="shared" si="99"/>
        <v>0</v>
      </c>
      <c r="W157" s="42">
        <f t="shared" si="100"/>
        <v>1</v>
      </c>
      <c r="X157" s="42">
        <f t="shared" si="101"/>
        <v>0</v>
      </c>
      <c r="Y157" s="43">
        <f t="shared" si="102"/>
        <v>1</v>
      </c>
      <c r="Z157" s="96">
        <f t="shared" si="103"/>
        <v>45.36</v>
      </c>
      <c r="AA157" s="96">
        <f>Q157*E157</f>
        <v>0</v>
      </c>
      <c r="AB157" s="96">
        <f t="shared" si="104"/>
        <v>45.36</v>
      </c>
      <c r="AC157" s="5"/>
    </row>
    <row r="158" spans="1:29">
      <c r="A158" s="182" t="s">
        <v>225</v>
      </c>
      <c r="B158" s="183" t="s">
        <v>226</v>
      </c>
      <c r="C158" s="182" t="s">
        <v>15</v>
      </c>
      <c r="D158" s="39">
        <v>7</v>
      </c>
      <c r="E158" s="40">
        <v>15.94</v>
      </c>
      <c r="F158" s="186"/>
      <c r="G158" s="40">
        <v>12.96</v>
      </c>
      <c r="H158" s="41">
        <f t="shared" si="96"/>
        <v>111.58</v>
      </c>
      <c r="I158" s="187" t="s">
        <v>446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97"/>
        <v>7</v>
      </c>
      <c r="U158" s="65">
        <f t="shared" si="98"/>
        <v>0</v>
      </c>
      <c r="V158" s="65">
        <f t="shared" si="99"/>
        <v>0</v>
      </c>
      <c r="W158" s="42">
        <f t="shared" si="100"/>
        <v>1</v>
      </c>
      <c r="X158" s="42">
        <f t="shared" si="101"/>
        <v>0</v>
      </c>
      <c r="Y158" s="43">
        <f t="shared" si="102"/>
        <v>1</v>
      </c>
      <c r="Z158" s="96">
        <f t="shared" si="103"/>
        <v>111.58</v>
      </c>
      <c r="AA158" s="96">
        <f>Q158*E158</f>
        <v>0</v>
      </c>
      <c r="AB158" s="96">
        <f t="shared" si="104"/>
        <v>111.58</v>
      </c>
      <c r="AC158" s="5"/>
    </row>
    <row r="159" spans="1:29" s="87" customFormat="1">
      <c r="A159" s="37" t="s">
        <v>227</v>
      </c>
      <c r="B159" s="38" t="s">
        <v>228</v>
      </c>
      <c r="C159" s="61" t="s">
        <v>15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96"/>
        <v>133.9</v>
      </c>
      <c r="I159" s="155" t="s">
        <v>446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97"/>
        <v>0</v>
      </c>
      <c r="U159" s="65">
        <f t="shared" si="98"/>
        <v>10</v>
      </c>
      <c r="V159" s="65">
        <f t="shared" si="99"/>
        <v>133.9</v>
      </c>
      <c r="W159" s="42">
        <f t="shared" si="100"/>
        <v>0</v>
      </c>
      <c r="X159" s="42">
        <f t="shared" si="101"/>
        <v>0</v>
      </c>
      <c r="Y159" s="43">
        <f t="shared" si="102"/>
        <v>0</v>
      </c>
      <c r="Z159" s="96">
        <f t="shared" si="103"/>
        <v>0</v>
      </c>
      <c r="AA159" s="96">
        <f>S159*G159</f>
        <v>0</v>
      </c>
      <c r="AB159" s="96">
        <f t="shared" si="104"/>
        <v>0</v>
      </c>
      <c r="AC159" s="5"/>
    </row>
    <row r="160" spans="1:29">
      <c r="A160" s="192" t="s">
        <v>229</v>
      </c>
      <c r="B160" s="193" t="s">
        <v>230</v>
      </c>
      <c r="C160" s="192" t="s">
        <v>15</v>
      </c>
      <c r="D160" s="39">
        <v>5</v>
      </c>
      <c r="E160" s="40">
        <v>24.53</v>
      </c>
      <c r="F160" s="205"/>
      <c r="G160" s="40">
        <v>19.940000000000001</v>
      </c>
      <c r="H160" s="41">
        <f t="shared" si="96"/>
        <v>122.65</v>
      </c>
      <c r="I160" s="206" t="s">
        <v>446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97"/>
        <v>5</v>
      </c>
      <c r="U160" s="65">
        <f t="shared" si="98"/>
        <v>0</v>
      </c>
      <c r="V160" s="65">
        <f t="shared" si="99"/>
        <v>0</v>
      </c>
      <c r="W160" s="42">
        <f t="shared" si="100"/>
        <v>1</v>
      </c>
      <c r="X160" s="42">
        <f t="shared" si="101"/>
        <v>0</v>
      </c>
      <c r="Y160" s="43">
        <f t="shared" si="102"/>
        <v>1</v>
      </c>
      <c r="Z160" s="96">
        <f t="shared" si="103"/>
        <v>122.65</v>
      </c>
      <c r="AA160" s="96">
        <f>Q160*E160</f>
        <v>0</v>
      </c>
      <c r="AB160" s="96">
        <f t="shared" si="104"/>
        <v>122.65</v>
      </c>
      <c r="AC160" s="5"/>
    </row>
    <row r="161" spans="1:29">
      <c r="A161" s="37" t="s">
        <v>231</v>
      </c>
      <c r="B161" s="38" t="s">
        <v>232</v>
      </c>
      <c r="C161" s="37" t="s">
        <v>15</v>
      </c>
      <c r="D161" s="39">
        <v>6</v>
      </c>
      <c r="E161" s="40">
        <v>29.36</v>
      </c>
      <c r="F161" s="40"/>
      <c r="G161" s="40">
        <v>23.87</v>
      </c>
      <c r="H161" s="41">
        <f t="shared" si="96"/>
        <v>176.16</v>
      </c>
      <c r="I161" s="154" t="s">
        <v>446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97"/>
        <v>6</v>
      </c>
      <c r="U161" s="65">
        <f t="shared" si="98"/>
        <v>0</v>
      </c>
      <c r="V161" s="65">
        <f t="shared" si="99"/>
        <v>0</v>
      </c>
      <c r="W161" s="42">
        <f t="shared" si="100"/>
        <v>1</v>
      </c>
      <c r="X161" s="42">
        <f t="shared" si="101"/>
        <v>0</v>
      </c>
      <c r="Y161" s="43">
        <f t="shared" si="102"/>
        <v>1</v>
      </c>
      <c r="Z161" s="96">
        <f t="shared" si="103"/>
        <v>176.16</v>
      </c>
      <c r="AA161" s="96">
        <f>Q161*E161</f>
        <v>0</v>
      </c>
      <c r="AB161" s="96">
        <f t="shared" si="104"/>
        <v>176.16</v>
      </c>
      <c r="AC161" s="5"/>
    </row>
    <row r="162" spans="1:29">
      <c r="A162" s="182" t="s">
        <v>233</v>
      </c>
      <c r="B162" s="183" t="s">
        <v>234</v>
      </c>
      <c r="C162" s="182" t="s">
        <v>15</v>
      </c>
      <c r="D162" s="39">
        <v>8</v>
      </c>
      <c r="E162" s="40">
        <v>9.99</v>
      </c>
      <c r="F162" s="186"/>
      <c r="G162" s="40">
        <v>8.1199999999999992</v>
      </c>
      <c r="H162" s="41">
        <f t="shared" si="96"/>
        <v>79.92</v>
      </c>
      <c r="I162" s="187" t="s">
        <v>446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97"/>
        <v>8</v>
      </c>
      <c r="U162" s="65">
        <f t="shared" si="98"/>
        <v>0</v>
      </c>
      <c r="V162" s="65">
        <f t="shared" si="99"/>
        <v>0</v>
      </c>
      <c r="W162" s="42">
        <f t="shared" si="100"/>
        <v>1</v>
      </c>
      <c r="X162" s="42">
        <f t="shared" si="101"/>
        <v>0</v>
      </c>
      <c r="Y162" s="43">
        <f t="shared" si="102"/>
        <v>1</v>
      </c>
      <c r="Z162" s="96">
        <f t="shared" si="103"/>
        <v>79.92</v>
      </c>
      <c r="AA162" s="96">
        <f>Q162*E162</f>
        <v>0</v>
      </c>
      <c r="AB162" s="96">
        <f t="shared" si="104"/>
        <v>79.92</v>
      </c>
      <c r="AC162" s="5"/>
    </row>
    <row r="163" spans="1:29" s="87" customFormat="1">
      <c r="A163" s="37" t="s">
        <v>235</v>
      </c>
      <c r="B163" s="38" t="s">
        <v>236</v>
      </c>
      <c r="C163" s="61" t="s">
        <v>15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96"/>
        <v>151.74</v>
      </c>
      <c r="I163" s="208" t="s">
        <v>503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97"/>
        <v>0</v>
      </c>
      <c r="U163" s="65">
        <f t="shared" si="98"/>
        <v>9</v>
      </c>
      <c r="V163" s="65">
        <f t="shared" si="99"/>
        <v>151.74</v>
      </c>
      <c r="W163" s="42">
        <f t="shared" si="100"/>
        <v>0</v>
      </c>
      <c r="X163" s="42">
        <f t="shared" si="101"/>
        <v>0</v>
      </c>
      <c r="Y163" s="43">
        <f t="shared" si="102"/>
        <v>0</v>
      </c>
      <c r="Z163" s="96">
        <f t="shared" si="103"/>
        <v>0</v>
      </c>
      <c r="AA163" s="96">
        <f>S163*G163</f>
        <v>0</v>
      </c>
      <c r="AB163" s="96">
        <f t="shared" si="104"/>
        <v>0</v>
      </c>
      <c r="AC163" s="5"/>
    </row>
    <row r="164" spans="1:29" s="87" customFormat="1">
      <c r="A164" s="192" t="s">
        <v>237</v>
      </c>
      <c r="B164" s="193" t="s">
        <v>238</v>
      </c>
      <c r="C164" s="194" t="s">
        <v>15</v>
      </c>
      <c r="D164" s="62">
        <v>1</v>
      </c>
      <c r="E164" s="63">
        <v>1434.2</v>
      </c>
      <c r="F164" s="195"/>
      <c r="G164" s="63">
        <v>1166.02</v>
      </c>
      <c r="H164" s="64">
        <f t="shared" si="96"/>
        <v>1434.2</v>
      </c>
      <c r="I164" s="196" t="s">
        <v>446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97"/>
        <v>1</v>
      </c>
      <c r="U164" s="65">
        <f t="shared" si="98"/>
        <v>0</v>
      </c>
      <c r="V164" s="65">
        <f t="shared" si="99"/>
        <v>0</v>
      </c>
      <c r="W164" s="42">
        <f t="shared" si="100"/>
        <v>1</v>
      </c>
      <c r="X164" s="42">
        <f t="shared" si="101"/>
        <v>0</v>
      </c>
      <c r="Y164" s="43">
        <f t="shared" si="102"/>
        <v>1</v>
      </c>
      <c r="Z164" s="96">
        <f t="shared" si="103"/>
        <v>1434.2</v>
      </c>
      <c r="AA164" s="96">
        <f t="shared" ref="AA164:AA169" si="105">Q164*E164</f>
        <v>0</v>
      </c>
      <c r="AB164" s="96">
        <f t="shared" si="104"/>
        <v>1434.2</v>
      </c>
      <c r="AC164" s="5"/>
    </row>
    <row r="165" spans="1:29">
      <c r="A165" s="37" t="s">
        <v>239</v>
      </c>
      <c r="B165" s="38" t="s">
        <v>240</v>
      </c>
      <c r="C165" s="37" t="s">
        <v>15</v>
      </c>
      <c r="D165" s="39">
        <v>1</v>
      </c>
      <c r="E165" s="40">
        <v>29.94</v>
      </c>
      <c r="F165" s="40"/>
      <c r="G165" s="40">
        <v>24.34</v>
      </c>
      <c r="H165" s="41">
        <f t="shared" si="96"/>
        <v>29.94</v>
      </c>
      <c r="I165" s="154" t="s">
        <v>446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97"/>
        <v>1</v>
      </c>
      <c r="U165" s="65">
        <f t="shared" si="98"/>
        <v>0</v>
      </c>
      <c r="V165" s="65">
        <f t="shared" si="99"/>
        <v>0</v>
      </c>
      <c r="W165" s="42">
        <f t="shared" si="100"/>
        <v>1</v>
      </c>
      <c r="X165" s="42">
        <f t="shared" si="101"/>
        <v>0</v>
      </c>
      <c r="Y165" s="43">
        <f t="shared" si="102"/>
        <v>1</v>
      </c>
      <c r="Z165" s="96">
        <f t="shared" si="103"/>
        <v>29.94</v>
      </c>
      <c r="AA165" s="96">
        <f t="shared" si="105"/>
        <v>0</v>
      </c>
      <c r="AB165" s="96">
        <f t="shared" si="104"/>
        <v>29.94</v>
      </c>
      <c r="AC165" s="5"/>
    </row>
    <row r="166" spans="1:29">
      <c r="A166" s="37" t="s">
        <v>241</v>
      </c>
      <c r="B166" s="38" t="s">
        <v>242</v>
      </c>
      <c r="C166" s="37" t="s">
        <v>105</v>
      </c>
      <c r="D166" s="39">
        <v>3</v>
      </c>
      <c r="E166" s="40">
        <v>16.05</v>
      </c>
      <c r="F166" s="40"/>
      <c r="G166" s="40">
        <v>13.05</v>
      </c>
      <c r="H166" s="41">
        <f t="shared" si="96"/>
        <v>48.15</v>
      </c>
      <c r="I166" s="154" t="s">
        <v>446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97"/>
        <v>3</v>
      </c>
      <c r="U166" s="65">
        <f t="shared" si="98"/>
        <v>0</v>
      </c>
      <c r="V166" s="65">
        <f t="shared" si="99"/>
        <v>0</v>
      </c>
      <c r="W166" s="42">
        <f t="shared" si="100"/>
        <v>1</v>
      </c>
      <c r="X166" s="42">
        <f t="shared" si="101"/>
        <v>0</v>
      </c>
      <c r="Y166" s="43">
        <f t="shared" si="102"/>
        <v>1</v>
      </c>
      <c r="Z166" s="96">
        <f t="shared" si="103"/>
        <v>48.150000000000006</v>
      </c>
      <c r="AA166" s="96">
        <f t="shared" si="105"/>
        <v>0</v>
      </c>
      <c r="AB166" s="96">
        <f t="shared" si="104"/>
        <v>48.150000000000006</v>
      </c>
      <c r="AC166" s="5"/>
    </row>
    <row r="167" spans="1:29">
      <c r="A167" s="37" t="s">
        <v>243</v>
      </c>
      <c r="B167" s="38" t="s">
        <v>244</v>
      </c>
      <c r="C167" s="37" t="s">
        <v>105</v>
      </c>
      <c r="D167" s="39">
        <v>35</v>
      </c>
      <c r="E167" s="40">
        <v>29.05</v>
      </c>
      <c r="F167" s="40"/>
      <c r="G167" s="40">
        <v>23.62</v>
      </c>
      <c r="H167" s="41">
        <f t="shared" si="96"/>
        <v>1016.75</v>
      </c>
      <c r="I167" s="154" t="s">
        <v>446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97"/>
        <v>35</v>
      </c>
      <c r="U167" s="65">
        <f t="shared" si="98"/>
        <v>0</v>
      </c>
      <c r="V167" s="65">
        <f t="shared" si="99"/>
        <v>0</v>
      </c>
      <c r="W167" s="42">
        <f t="shared" si="100"/>
        <v>1</v>
      </c>
      <c r="X167" s="42">
        <f t="shared" si="101"/>
        <v>0</v>
      </c>
      <c r="Y167" s="43">
        <f t="shared" si="102"/>
        <v>1</v>
      </c>
      <c r="Z167" s="96">
        <f t="shared" si="103"/>
        <v>1016.75</v>
      </c>
      <c r="AA167" s="96">
        <f t="shared" si="105"/>
        <v>0</v>
      </c>
      <c r="AB167" s="96">
        <f t="shared" si="104"/>
        <v>1016.75</v>
      </c>
      <c r="AC167" s="5"/>
    </row>
    <row r="168" spans="1:29">
      <c r="A168" s="37" t="s">
        <v>245</v>
      </c>
      <c r="B168" s="38" t="s">
        <v>246</v>
      </c>
      <c r="C168" s="37" t="s">
        <v>105</v>
      </c>
      <c r="D168" s="39">
        <v>20</v>
      </c>
      <c r="E168" s="40">
        <v>11.78</v>
      </c>
      <c r="F168" s="40"/>
      <c r="G168" s="40">
        <v>9.58</v>
      </c>
      <c r="H168" s="41">
        <f t="shared" si="96"/>
        <v>235.6</v>
      </c>
      <c r="I168" s="154" t="s">
        <v>446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97"/>
        <v>20</v>
      </c>
      <c r="U168" s="65">
        <f t="shared" si="98"/>
        <v>0</v>
      </c>
      <c r="V168" s="65">
        <f t="shared" si="99"/>
        <v>0</v>
      </c>
      <c r="W168" s="42">
        <f t="shared" si="100"/>
        <v>1</v>
      </c>
      <c r="X168" s="42">
        <f t="shared" si="101"/>
        <v>0</v>
      </c>
      <c r="Y168" s="43">
        <f t="shared" si="102"/>
        <v>1</v>
      </c>
      <c r="Z168" s="96">
        <f t="shared" si="103"/>
        <v>235.6</v>
      </c>
      <c r="AA168" s="96">
        <f t="shared" si="105"/>
        <v>0</v>
      </c>
      <c r="AB168" s="96">
        <f t="shared" si="104"/>
        <v>235.6</v>
      </c>
      <c r="AC168" s="5"/>
    </row>
    <row r="169" spans="1:29">
      <c r="A169" s="182" t="s">
        <v>247</v>
      </c>
      <c r="B169" s="183" t="s">
        <v>248</v>
      </c>
      <c r="C169" s="182" t="s">
        <v>105</v>
      </c>
      <c r="D169" s="39">
        <v>17</v>
      </c>
      <c r="E169" s="40">
        <v>16.59</v>
      </c>
      <c r="F169" s="186"/>
      <c r="G169" s="40">
        <v>13.49</v>
      </c>
      <c r="H169" s="41">
        <f t="shared" si="96"/>
        <v>282.02999999999997</v>
      </c>
      <c r="I169" s="187" t="s">
        <v>446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97"/>
        <v>17</v>
      </c>
      <c r="U169" s="65">
        <f t="shared" si="98"/>
        <v>0</v>
      </c>
      <c r="V169" s="65">
        <f t="shared" si="99"/>
        <v>0</v>
      </c>
      <c r="W169" s="42">
        <f t="shared" si="100"/>
        <v>1</v>
      </c>
      <c r="X169" s="42">
        <f t="shared" si="101"/>
        <v>0</v>
      </c>
      <c r="Y169" s="43">
        <f t="shared" si="102"/>
        <v>1</v>
      </c>
      <c r="Z169" s="96">
        <f t="shared" si="103"/>
        <v>282.02999999999997</v>
      </c>
      <c r="AA169" s="96">
        <f t="shared" si="105"/>
        <v>0</v>
      </c>
      <c r="AB169" s="96">
        <f t="shared" si="104"/>
        <v>282.02999999999997</v>
      </c>
      <c r="AC169" s="5"/>
    </row>
    <row r="170" spans="1:29" s="87" customFormat="1">
      <c r="A170" s="37" t="s">
        <v>249</v>
      </c>
      <c r="B170" s="38" t="s">
        <v>250</v>
      </c>
      <c r="C170" s="61" t="s">
        <v>15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96"/>
        <v>139.05000000000001</v>
      </c>
      <c r="I170" s="155" t="s">
        <v>446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97"/>
        <v>0</v>
      </c>
      <c r="U170" s="65">
        <f t="shared" si="98"/>
        <v>9</v>
      </c>
      <c r="V170" s="65">
        <f t="shared" si="99"/>
        <v>139.04999999999998</v>
      </c>
      <c r="W170" s="42">
        <f t="shared" si="100"/>
        <v>0</v>
      </c>
      <c r="X170" s="42">
        <f t="shared" si="101"/>
        <v>0</v>
      </c>
      <c r="Y170" s="43">
        <f t="shared" si="102"/>
        <v>0</v>
      </c>
      <c r="Z170" s="96">
        <f t="shared" si="103"/>
        <v>0</v>
      </c>
      <c r="AA170" s="96">
        <f>S170*G170</f>
        <v>0</v>
      </c>
      <c r="AB170" s="96">
        <f t="shared" si="104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97"/>
        <v>0</v>
      </c>
      <c r="U171" s="79"/>
      <c r="V171" s="65">
        <f t="shared" si="99"/>
        <v>0</v>
      </c>
      <c r="W171" s="42">
        <v>0</v>
      </c>
      <c r="X171" s="42">
        <f t="shared" si="101"/>
        <v>0</v>
      </c>
      <c r="Y171" s="43">
        <f t="shared" si="102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251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252</v>
      </c>
      <c r="B173" s="38" t="s">
        <v>253</v>
      </c>
      <c r="C173" s="61" t="s">
        <v>105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504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106">SUM(J173:S173)</f>
        <v>0</v>
      </c>
      <c r="U173" s="65">
        <f>D173-T173</f>
        <v>72</v>
      </c>
      <c r="V173" s="65">
        <f t="shared" ref="V173:V178" si="107">U173*E173</f>
        <v>2684.16</v>
      </c>
      <c r="W173" s="42">
        <f t="shared" ref="W173:W177" si="108">(SUM(J173:R173))/D173</f>
        <v>0</v>
      </c>
      <c r="X173" s="42">
        <f t="shared" ref="X173:X178" si="109">IF(D173=0,0,S173/D173)</f>
        <v>0</v>
      </c>
      <c r="Y173" s="43">
        <f t="shared" ref="Y173:Y178" si="110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254</v>
      </c>
      <c r="B174" s="193" t="s">
        <v>255</v>
      </c>
      <c r="C174" s="194" t="s">
        <v>105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446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106"/>
        <v>20</v>
      </c>
      <c r="U174" s="65">
        <f>D174-T174</f>
        <v>0</v>
      </c>
      <c r="V174" s="65">
        <f t="shared" si="107"/>
        <v>0</v>
      </c>
      <c r="W174" s="42">
        <f t="shared" si="108"/>
        <v>1</v>
      </c>
      <c r="X174" s="42">
        <f t="shared" si="109"/>
        <v>0</v>
      </c>
      <c r="Y174" s="43">
        <f t="shared" si="110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256</v>
      </c>
      <c r="B175" s="183" t="s">
        <v>257</v>
      </c>
      <c r="C175" s="184" t="s">
        <v>105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446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106"/>
        <v>4</v>
      </c>
      <c r="U175" s="65">
        <f>D175-T175</f>
        <v>0</v>
      </c>
      <c r="V175" s="65">
        <f t="shared" si="107"/>
        <v>0</v>
      </c>
      <c r="W175" s="42">
        <f t="shared" si="108"/>
        <v>1</v>
      </c>
      <c r="X175" s="42">
        <f t="shared" si="109"/>
        <v>0</v>
      </c>
      <c r="Y175" s="43">
        <f t="shared" si="110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258</v>
      </c>
      <c r="B176" s="38" t="s">
        <v>259</v>
      </c>
      <c r="C176" s="61" t="s">
        <v>15</v>
      </c>
      <c r="D176" s="62">
        <v>4</v>
      </c>
      <c r="E176" s="63">
        <v>31.51</v>
      </c>
      <c r="F176" s="39">
        <f t="shared" ref="F176:F177" si="111">U176</f>
        <v>4</v>
      </c>
      <c r="G176" s="63">
        <v>25.62</v>
      </c>
      <c r="H176" s="64">
        <f>ROUND(D176*E176,2)</f>
        <v>126.04</v>
      </c>
      <c r="I176" s="208" t="s">
        <v>505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106"/>
        <v>0</v>
      </c>
      <c r="U176" s="65">
        <f>D176-T176</f>
        <v>4</v>
      </c>
      <c r="V176" s="65">
        <f t="shared" si="107"/>
        <v>126.04</v>
      </c>
      <c r="W176" s="42">
        <f t="shared" si="108"/>
        <v>0</v>
      </c>
      <c r="X176" s="42">
        <f t="shared" si="109"/>
        <v>0</v>
      </c>
      <c r="Y176" s="43">
        <f t="shared" si="110"/>
        <v>0</v>
      </c>
      <c r="Z176" s="96">
        <f>(J176+K176+L176+M176+N176)*E176</f>
        <v>0</v>
      </c>
      <c r="AA176" s="96">
        <f t="shared" ref="AA176:AA177" si="112"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260</v>
      </c>
      <c r="B177" s="38" t="s">
        <v>261</v>
      </c>
      <c r="C177" s="61" t="s">
        <v>105</v>
      </c>
      <c r="D177" s="62">
        <v>72</v>
      </c>
      <c r="E177" s="63">
        <v>191.73</v>
      </c>
      <c r="F177" s="39" t="e">
        <f t="shared" si="111"/>
        <v>#REF!</v>
      </c>
      <c r="G177" s="63">
        <v>155.88</v>
      </c>
      <c r="H177" s="64">
        <f>ROUND(D177*E177,2)</f>
        <v>13804.56</v>
      </c>
      <c r="I177" s="208" t="s">
        <v>506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106"/>
        <v>#REF!</v>
      </c>
      <c r="U177" s="65" t="e">
        <f>D177-T177</f>
        <v>#REF!</v>
      </c>
      <c r="V177" s="65" t="e">
        <f t="shared" si="107"/>
        <v>#REF!</v>
      </c>
      <c r="W177" s="42">
        <f t="shared" si="108"/>
        <v>0</v>
      </c>
      <c r="X177" s="42" t="e">
        <f t="shared" si="109"/>
        <v>#REF!</v>
      </c>
      <c r="Y177" s="43" t="e">
        <f t="shared" si="110"/>
        <v>#REF!</v>
      </c>
      <c r="Z177" s="96">
        <f>(J177+K177+L177+M177+N177)*E177</f>
        <v>0</v>
      </c>
      <c r="AA177" s="96" t="e">
        <f t="shared" si="112"/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106"/>
        <v>0</v>
      </c>
      <c r="U178" s="79"/>
      <c r="V178" s="65">
        <f t="shared" si="107"/>
        <v>0</v>
      </c>
      <c r="W178" s="42">
        <v>0</v>
      </c>
      <c r="X178" s="42">
        <f t="shared" si="109"/>
        <v>0</v>
      </c>
      <c r="Y178" s="43">
        <f t="shared" si="110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262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263</v>
      </c>
      <c r="B180" s="38" t="s">
        <v>264</v>
      </c>
      <c r="C180" s="61" t="s">
        <v>15</v>
      </c>
      <c r="D180" s="62">
        <v>5</v>
      </c>
      <c r="E180" s="63">
        <v>16.170000000000002</v>
      </c>
      <c r="F180" s="39">
        <f t="shared" ref="F180:F184" si="113">U180</f>
        <v>5</v>
      </c>
      <c r="G180" s="63">
        <v>13.15</v>
      </c>
      <c r="H180" s="64">
        <f t="shared" ref="H180:H209" si="114">ROUND(D180*E180,2)</f>
        <v>80.849999999999994</v>
      </c>
      <c r="I180" s="208" t="s">
        <v>507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115">SUM(J180:S180)</f>
        <v>0</v>
      </c>
      <c r="U180" s="65">
        <f t="shared" ref="U180:U209" si="116">D180-T180</f>
        <v>5</v>
      </c>
      <c r="V180" s="65">
        <f t="shared" ref="V180:V210" si="117">U180*E180</f>
        <v>80.850000000000009</v>
      </c>
      <c r="W180" s="42">
        <f t="shared" ref="W180:W209" si="118">(SUM(J180:R180))/D180</f>
        <v>0</v>
      </c>
      <c r="X180" s="42">
        <f t="shared" ref="X180:X210" si="119">IF(D180=0,0,S180/D180)</f>
        <v>0</v>
      </c>
      <c r="Y180" s="43">
        <f t="shared" ref="Y180:Y210" si="120">W180+X180</f>
        <v>0</v>
      </c>
      <c r="Z180" s="96">
        <f t="shared" ref="Z180:Z209" si="121">(J180+K180+L180+M180+N180)*E180</f>
        <v>0</v>
      </c>
      <c r="AA180" s="96">
        <f t="shared" ref="AA180:AA184" si="122">S180*G180</f>
        <v>0</v>
      </c>
      <c r="AB180" s="96">
        <f t="shared" ref="AB180:AB209" si="123">(J180+K180+L180+M180+N180+O180)*E180</f>
        <v>0</v>
      </c>
      <c r="AC180" s="5"/>
    </row>
    <row r="181" spans="1:29" s="87" customFormat="1" ht="25.5">
      <c r="A181" s="37" t="s">
        <v>265</v>
      </c>
      <c r="B181" s="38" t="s">
        <v>266</v>
      </c>
      <c r="C181" s="61" t="s">
        <v>15</v>
      </c>
      <c r="D181" s="62">
        <v>5</v>
      </c>
      <c r="E181" s="63">
        <v>13.86</v>
      </c>
      <c r="F181" s="39">
        <f t="shared" si="113"/>
        <v>5</v>
      </c>
      <c r="G181" s="63">
        <v>11.27</v>
      </c>
      <c r="H181" s="64">
        <f t="shared" si="114"/>
        <v>69.3</v>
      </c>
      <c r="I181" s="208" t="s">
        <v>508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115"/>
        <v>0</v>
      </c>
      <c r="U181" s="65">
        <f t="shared" si="116"/>
        <v>5</v>
      </c>
      <c r="V181" s="65">
        <f t="shared" si="117"/>
        <v>69.3</v>
      </c>
      <c r="W181" s="42">
        <f t="shared" si="118"/>
        <v>0</v>
      </c>
      <c r="X181" s="42">
        <f t="shared" si="119"/>
        <v>0</v>
      </c>
      <c r="Y181" s="43">
        <f t="shared" si="120"/>
        <v>0</v>
      </c>
      <c r="Z181" s="96">
        <f t="shared" si="121"/>
        <v>0</v>
      </c>
      <c r="AA181" s="96">
        <f t="shared" si="122"/>
        <v>0</v>
      </c>
      <c r="AB181" s="96">
        <f t="shared" si="123"/>
        <v>0</v>
      </c>
      <c r="AC181" s="5"/>
    </row>
    <row r="182" spans="1:29" s="87" customFormat="1" ht="25.5">
      <c r="A182" s="37" t="s">
        <v>267</v>
      </c>
      <c r="B182" s="38" t="s">
        <v>268</v>
      </c>
      <c r="C182" s="61" t="s">
        <v>15</v>
      </c>
      <c r="D182" s="62">
        <v>4</v>
      </c>
      <c r="E182" s="63">
        <v>16.78</v>
      </c>
      <c r="F182" s="39">
        <f t="shared" si="113"/>
        <v>4</v>
      </c>
      <c r="G182" s="63">
        <v>13.64</v>
      </c>
      <c r="H182" s="64">
        <f t="shared" si="114"/>
        <v>67.12</v>
      </c>
      <c r="I182" s="155" t="s">
        <v>446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115"/>
        <v>0</v>
      </c>
      <c r="U182" s="65">
        <f t="shared" si="116"/>
        <v>4</v>
      </c>
      <c r="V182" s="65">
        <f t="shared" si="117"/>
        <v>67.12</v>
      </c>
      <c r="W182" s="42">
        <f t="shared" si="118"/>
        <v>0</v>
      </c>
      <c r="X182" s="42">
        <f t="shared" si="119"/>
        <v>0</v>
      </c>
      <c r="Y182" s="43">
        <f t="shared" si="120"/>
        <v>0</v>
      </c>
      <c r="Z182" s="96">
        <f t="shared" si="121"/>
        <v>0</v>
      </c>
      <c r="AA182" s="96">
        <f t="shared" si="122"/>
        <v>0</v>
      </c>
      <c r="AB182" s="96">
        <f t="shared" si="123"/>
        <v>0</v>
      </c>
      <c r="AC182" s="5"/>
    </row>
    <row r="183" spans="1:29" s="87" customFormat="1" ht="25.5">
      <c r="A183" s="37" t="s">
        <v>269</v>
      </c>
      <c r="B183" s="38" t="s">
        <v>270</v>
      </c>
      <c r="C183" s="61" t="s">
        <v>15</v>
      </c>
      <c r="D183" s="62">
        <v>1</v>
      </c>
      <c r="E183" s="63">
        <v>16.8</v>
      </c>
      <c r="F183" s="39">
        <f t="shared" si="113"/>
        <v>1</v>
      </c>
      <c r="G183" s="63">
        <v>13.66</v>
      </c>
      <c r="H183" s="64">
        <f t="shared" si="114"/>
        <v>16.8</v>
      </c>
      <c r="I183" s="208" t="s">
        <v>509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115"/>
        <v>0</v>
      </c>
      <c r="U183" s="65">
        <f t="shared" si="116"/>
        <v>1</v>
      </c>
      <c r="V183" s="65">
        <f t="shared" si="117"/>
        <v>16.8</v>
      </c>
      <c r="W183" s="42">
        <f t="shared" si="118"/>
        <v>0</v>
      </c>
      <c r="X183" s="42">
        <f t="shared" si="119"/>
        <v>0</v>
      </c>
      <c r="Y183" s="43">
        <f t="shared" si="120"/>
        <v>0</v>
      </c>
      <c r="Z183" s="96">
        <f t="shared" si="121"/>
        <v>0</v>
      </c>
      <c r="AA183" s="96">
        <f t="shared" si="122"/>
        <v>0</v>
      </c>
      <c r="AB183" s="96">
        <f t="shared" si="123"/>
        <v>0</v>
      </c>
      <c r="AC183" s="5"/>
    </row>
    <row r="184" spans="1:29" s="87" customFormat="1">
      <c r="A184" s="37" t="s">
        <v>271</v>
      </c>
      <c r="B184" s="38" t="s">
        <v>272</v>
      </c>
      <c r="C184" s="61" t="s">
        <v>15</v>
      </c>
      <c r="D184" s="62">
        <v>16</v>
      </c>
      <c r="E184" s="63">
        <v>9.41</v>
      </c>
      <c r="F184" s="39">
        <f t="shared" si="113"/>
        <v>16</v>
      </c>
      <c r="G184" s="63">
        <v>7.65</v>
      </c>
      <c r="H184" s="64">
        <f t="shared" si="114"/>
        <v>150.56</v>
      </c>
      <c r="I184" s="209" t="s">
        <v>510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115"/>
        <v>0</v>
      </c>
      <c r="U184" s="65">
        <f t="shared" si="116"/>
        <v>16</v>
      </c>
      <c r="V184" s="65">
        <f t="shared" si="117"/>
        <v>150.56</v>
      </c>
      <c r="W184" s="42">
        <f t="shared" si="118"/>
        <v>0</v>
      </c>
      <c r="X184" s="42">
        <f t="shared" si="119"/>
        <v>0</v>
      </c>
      <c r="Y184" s="43">
        <f t="shared" si="120"/>
        <v>0</v>
      </c>
      <c r="Z184" s="96">
        <f t="shared" si="121"/>
        <v>0</v>
      </c>
      <c r="AA184" s="96">
        <f t="shared" si="122"/>
        <v>0</v>
      </c>
      <c r="AB184" s="96">
        <f t="shared" si="123"/>
        <v>0</v>
      </c>
      <c r="AC184" s="5"/>
    </row>
    <row r="185" spans="1:29">
      <c r="A185" s="130" t="s">
        <v>273</v>
      </c>
      <c r="B185" s="188" t="s">
        <v>274</v>
      </c>
      <c r="C185" s="130" t="s">
        <v>15</v>
      </c>
      <c r="D185" s="39">
        <v>7</v>
      </c>
      <c r="E185" s="40">
        <v>9.25</v>
      </c>
      <c r="F185" s="200"/>
      <c r="G185" s="40">
        <v>7.52</v>
      </c>
      <c r="H185" s="41">
        <f t="shared" si="114"/>
        <v>64.75</v>
      </c>
      <c r="I185" s="207" t="s">
        <v>446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115"/>
        <v>7</v>
      </c>
      <c r="U185" s="65">
        <f t="shared" si="116"/>
        <v>0</v>
      </c>
      <c r="V185" s="65">
        <f t="shared" si="117"/>
        <v>0</v>
      </c>
      <c r="W185" s="42">
        <f t="shared" si="118"/>
        <v>1</v>
      </c>
      <c r="X185" s="42">
        <f t="shared" si="119"/>
        <v>0</v>
      </c>
      <c r="Y185" s="43">
        <f t="shared" si="120"/>
        <v>1</v>
      </c>
      <c r="Z185" s="96">
        <f t="shared" si="121"/>
        <v>64.75</v>
      </c>
      <c r="AA185" s="96">
        <f>Q185*E185</f>
        <v>0</v>
      </c>
      <c r="AB185" s="96">
        <f t="shared" si="123"/>
        <v>64.75</v>
      </c>
      <c r="AC185" s="5"/>
    </row>
    <row r="186" spans="1:29" s="87" customFormat="1" ht="51">
      <c r="A186" s="37" t="s">
        <v>275</v>
      </c>
      <c r="B186" s="38" t="s">
        <v>276</v>
      </c>
      <c r="C186" s="61" t="s">
        <v>105</v>
      </c>
      <c r="D186" s="62">
        <v>190</v>
      </c>
      <c r="E186" s="63">
        <v>3.14</v>
      </c>
      <c r="F186" s="39" t="e">
        <f t="shared" ref="F186:F200" si="124">U186</f>
        <v>#REF!</v>
      </c>
      <c r="G186" s="63">
        <v>2.5499999999999998</v>
      </c>
      <c r="H186" s="64">
        <f t="shared" si="114"/>
        <v>596.6</v>
      </c>
      <c r="I186" s="208" t="s">
        <v>511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115"/>
        <v>#REF!</v>
      </c>
      <c r="U186" s="65" t="e">
        <f t="shared" si="116"/>
        <v>#REF!</v>
      </c>
      <c r="V186" s="65" t="e">
        <f t="shared" si="117"/>
        <v>#REF!</v>
      </c>
      <c r="W186" s="42">
        <f t="shared" si="118"/>
        <v>0</v>
      </c>
      <c r="X186" s="42" t="e">
        <f t="shared" si="119"/>
        <v>#REF!</v>
      </c>
      <c r="Y186" s="43" t="e">
        <f t="shared" si="120"/>
        <v>#REF!</v>
      </c>
      <c r="Z186" s="96">
        <f t="shared" si="121"/>
        <v>0</v>
      </c>
      <c r="AA186" s="96" t="e">
        <f t="shared" ref="AA186:AA200" si="125">S186*G186</f>
        <v>#REF!</v>
      </c>
      <c r="AB186" s="96">
        <f t="shared" si="123"/>
        <v>0</v>
      </c>
      <c r="AC186" s="5"/>
    </row>
    <row r="187" spans="1:29" s="87" customFormat="1" ht="51">
      <c r="A187" s="37" t="s">
        <v>277</v>
      </c>
      <c r="B187" s="38" t="s">
        <v>278</v>
      </c>
      <c r="C187" s="61" t="s">
        <v>105</v>
      </c>
      <c r="D187" s="62">
        <v>820</v>
      </c>
      <c r="E187" s="63">
        <v>5.07</v>
      </c>
      <c r="F187" s="39" t="e">
        <f t="shared" si="124"/>
        <v>#REF!</v>
      </c>
      <c r="G187" s="63">
        <v>4.12</v>
      </c>
      <c r="H187" s="64">
        <f t="shared" si="114"/>
        <v>4157.3999999999996</v>
      </c>
      <c r="I187" s="208" t="s">
        <v>512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115"/>
        <v>#REF!</v>
      </c>
      <c r="U187" s="65" t="e">
        <f t="shared" si="116"/>
        <v>#REF!</v>
      </c>
      <c r="V187" s="65" t="e">
        <f t="shared" si="117"/>
        <v>#REF!</v>
      </c>
      <c r="W187" s="42">
        <f t="shared" si="118"/>
        <v>0</v>
      </c>
      <c r="X187" s="42" t="e">
        <f t="shared" si="119"/>
        <v>#REF!</v>
      </c>
      <c r="Y187" s="43" t="e">
        <f t="shared" si="120"/>
        <v>#REF!</v>
      </c>
      <c r="Z187" s="96">
        <f t="shared" si="121"/>
        <v>0</v>
      </c>
      <c r="AA187" s="96" t="e">
        <f t="shared" si="125"/>
        <v>#REF!</v>
      </c>
      <c r="AB187" s="96">
        <f t="shared" si="123"/>
        <v>0</v>
      </c>
      <c r="AC187" s="5"/>
    </row>
    <row r="188" spans="1:29" s="87" customFormat="1" ht="51">
      <c r="A188" s="37" t="s">
        <v>279</v>
      </c>
      <c r="B188" s="38" t="s">
        <v>280</v>
      </c>
      <c r="C188" s="61" t="s">
        <v>105</v>
      </c>
      <c r="D188" s="62">
        <v>14</v>
      </c>
      <c r="E188" s="63">
        <v>17.36</v>
      </c>
      <c r="F188" s="39">
        <f t="shared" si="124"/>
        <v>14</v>
      </c>
      <c r="G188" s="63">
        <v>14.11</v>
      </c>
      <c r="H188" s="64">
        <f t="shared" si="114"/>
        <v>243.04</v>
      </c>
      <c r="I188" s="208" t="s">
        <v>513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115"/>
        <v>0</v>
      </c>
      <c r="U188" s="65">
        <f t="shared" si="116"/>
        <v>14</v>
      </c>
      <c r="V188" s="65">
        <f t="shared" si="117"/>
        <v>243.04</v>
      </c>
      <c r="W188" s="42">
        <f t="shared" si="118"/>
        <v>0</v>
      </c>
      <c r="X188" s="42">
        <f t="shared" si="119"/>
        <v>0</v>
      </c>
      <c r="Y188" s="43">
        <f t="shared" si="120"/>
        <v>0</v>
      </c>
      <c r="Z188" s="96">
        <f t="shared" si="121"/>
        <v>0</v>
      </c>
      <c r="AA188" s="96">
        <f t="shared" si="125"/>
        <v>0</v>
      </c>
      <c r="AB188" s="96">
        <f t="shared" si="123"/>
        <v>0</v>
      </c>
      <c r="AC188" s="5"/>
    </row>
    <row r="189" spans="1:29" s="87" customFormat="1" ht="51">
      <c r="A189" s="37" t="s">
        <v>281</v>
      </c>
      <c r="B189" s="38" t="s">
        <v>282</v>
      </c>
      <c r="C189" s="61" t="s">
        <v>105</v>
      </c>
      <c r="D189" s="62">
        <v>41</v>
      </c>
      <c r="E189" s="63">
        <v>21.67</v>
      </c>
      <c r="F189" s="39">
        <f t="shared" si="124"/>
        <v>41</v>
      </c>
      <c r="G189" s="63">
        <v>17.62</v>
      </c>
      <c r="H189" s="64">
        <f t="shared" si="114"/>
        <v>888.47</v>
      </c>
      <c r="I189" s="208" t="s">
        <v>514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115"/>
        <v>0</v>
      </c>
      <c r="U189" s="65">
        <f t="shared" si="116"/>
        <v>41</v>
      </c>
      <c r="V189" s="65">
        <f t="shared" si="117"/>
        <v>888.47</v>
      </c>
      <c r="W189" s="42">
        <f t="shared" si="118"/>
        <v>0</v>
      </c>
      <c r="X189" s="42">
        <f t="shared" si="119"/>
        <v>0</v>
      </c>
      <c r="Y189" s="43">
        <f t="shared" si="120"/>
        <v>0</v>
      </c>
      <c r="Z189" s="96">
        <f t="shared" si="121"/>
        <v>0</v>
      </c>
      <c r="AA189" s="96">
        <f t="shared" si="125"/>
        <v>0</v>
      </c>
      <c r="AB189" s="96">
        <f t="shared" si="123"/>
        <v>0</v>
      </c>
      <c r="AC189" s="5"/>
    </row>
    <row r="190" spans="1:29" s="87" customFormat="1">
      <c r="A190" s="37" t="s">
        <v>283</v>
      </c>
      <c r="B190" s="38" t="s">
        <v>284</v>
      </c>
      <c r="C190" s="61" t="s">
        <v>15</v>
      </c>
      <c r="D190" s="62">
        <v>2</v>
      </c>
      <c r="E190" s="63">
        <v>14.3</v>
      </c>
      <c r="F190" s="39">
        <f t="shared" si="124"/>
        <v>2</v>
      </c>
      <c r="G190" s="63">
        <v>11.63</v>
      </c>
      <c r="H190" s="64">
        <f t="shared" si="114"/>
        <v>28.6</v>
      </c>
      <c r="I190" s="208" t="s">
        <v>516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115"/>
        <v>0</v>
      </c>
      <c r="U190" s="65">
        <f t="shared" si="116"/>
        <v>2</v>
      </c>
      <c r="V190" s="65">
        <f t="shared" si="117"/>
        <v>28.6</v>
      </c>
      <c r="W190" s="42">
        <f t="shared" si="118"/>
        <v>0</v>
      </c>
      <c r="X190" s="42">
        <f t="shared" si="119"/>
        <v>0</v>
      </c>
      <c r="Y190" s="43">
        <f t="shared" si="120"/>
        <v>0</v>
      </c>
      <c r="Z190" s="96">
        <f t="shared" si="121"/>
        <v>0</v>
      </c>
      <c r="AA190" s="96">
        <f t="shared" si="125"/>
        <v>0</v>
      </c>
      <c r="AB190" s="96">
        <f t="shared" si="123"/>
        <v>0</v>
      </c>
      <c r="AC190" s="5"/>
    </row>
    <row r="191" spans="1:29" s="87" customFormat="1">
      <c r="A191" s="37" t="s">
        <v>285</v>
      </c>
      <c r="B191" s="38" t="s">
        <v>286</v>
      </c>
      <c r="C191" s="61" t="s">
        <v>15</v>
      </c>
      <c r="D191" s="62">
        <v>1</v>
      </c>
      <c r="E191" s="63">
        <v>51.71</v>
      </c>
      <c r="F191" s="39">
        <f t="shared" si="124"/>
        <v>1</v>
      </c>
      <c r="G191" s="63">
        <v>42.04</v>
      </c>
      <c r="H191" s="64">
        <f t="shared" si="114"/>
        <v>51.71</v>
      </c>
      <c r="I191" s="208" t="s">
        <v>515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115"/>
        <v>0</v>
      </c>
      <c r="U191" s="65">
        <f t="shared" si="116"/>
        <v>1</v>
      </c>
      <c r="V191" s="65">
        <f t="shared" si="117"/>
        <v>51.71</v>
      </c>
      <c r="W191" s="42">
        <f t="shared" si="118"/>
        <v>0</v>
      </c>
      <c r="X191" s="42">
        <f t="shared" si="119"/>
        <v>0</v>
      </c>
      <c r="Y191" s="43">
        <f t="shared" si="120"/>
        <v>0</v>
      </c>
      <c r="Z191" s="96">
        <f t="shared" si="121"/>
        <v>0</v>
      </c>
      <c r="AA191" s="96">
        <f t="shared" si="125"/>
        <v>0</v>
      </c>
      <c r="AB191" s="96">
        <f t="shared" si="123"/>
        <v>0</v>
      </c>
      <c r="AC191" s="5"/>
    </row>
    <row r="192" spans="1:29" s="87" customFormat="1">
      <c r="A192" s="37" t="s">
        <v>287</v>
      </c>
      <c r="B192" s="38" t="s">
        <v>288</v>
      </c>
      <c r="C192" s="61" t="s">
        <v>15</v>
      </c>
      <c r="D192" s="62">
        <v>7</v>
      </c>
      <c r="E192" s="63">
        <v>42.2</v>
      </c>
      <c r="F192" s="39">
        <f t="shared" si="124"/>
        <v>7</v>
      </c>
      <c r="G192" s="63">
        <v>34.31</v>
      </c>
      <c r="H192" s="64">
        <f t="shared" si="114"/>
        <v>295.39999999999998</v>
      </c>
      <c r="I192" s="208" t="s">
        <v>517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115"/>
        <v>0</v>
      </c>
      <c r="U192" s="65">
        <f t="shared" si="116"/>
        <v>7</v>
      </c>
      <c r="V192" s="65">
        <f t="shared" si="117"/>
        <v>295.40000000000003</v>
      </c>
      <c r="W192" s="42">
        <f t="shared" si="118"/>
        <v>0</v>
      </c>
      <c r="X192" s="42">
        <f t="shared" si="119"/>
        <v>0</v>
      </c>
      <c r="Y192" s="43">
        <f t="shared" si="120"/>
        <v>0</v>
      </c>
      <c r="Z192" s="96">
        <f t="shared" si="121"/>
        <v>0</v>
      </c>
      <c r="AA192" s="96">
        <f t="shared" si="125"/>
        <v>0</v>
      </c>
      <c r="AB192" s="96">
        <f t="shared" si="123"/>
        <v>0</v>
      </c>
      <c r="AC192" s="5"/>
    </row>
    <row r="193" spans="1:29" s="87" customFormat="1" ht="25.5">
      <c r="A193" s="37" t="s">
        <v>289</v>
      </c>
      <c r="B193" s="38" t="s">
        <v>290</v>
      </c>
      <c r="C193" s="61" t="s">
        <v>15</v>
      </c>
      <c r="D193" s="62">
        <v>5</v>
      </c>
      <c r="E193" s="63">
        <v>10.119999999999999</v>
      </c>
      <c r="F193" s="39">
        <f t="shared" si="124"/>
        <v>5</v>
      </c>
      <c r="G193" s="63">
        <v>8.23</v>
      </c>
      <c r="H193" s="64">
        <f t="shared" si="114"/>
        <v>50.6</v>
      </c>
      <c r="I193" s="208" t="s">
        <v>518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115"/>
        <v>0</v>
      </c>
      <c r="U193" s="65">
        <f t="shared" si="116"/>
        <v>5</v>
      </c>
      <c r="V193" s="65">
        <f t="shared" si="117"/>
        <v>50.599999999999994</v>
      </c>
      <c r="W193" s="42">
        <f t="shared" si="118"/>
        <v>0</v>
      </c>
      <c r="X193" s="42">
        <f t="shared" si="119"/>
        <v>0</v>
      </c>
      <c r="Y193" s="43">
        <f t="shared" si="120"/>
        <v>0</v>
      </c>
      <c r="Z193" s="96">
        <f t="shared" si="121"/>
        <v>0</v>
      </c>
      <c r="AA193" s="96">
        <f t="shared" si="125"/>
        <v>0</v>
      </c>
      <c r="AB193" s="96">
        <f t="shared" si="123"/>
        <v>0</v>
      </c>
      <c r="AC193" s="5"/>
    </row>
    <row r="194" spans="1:29" s="87" customFormat="1" ht="25.5">
      <c r="A194" s="37" t="s">
        <v>291</v>
      </c>
      <c r="B194" s="38" t="s">
        <v>292</v>
      </c>
      <c r="C194" s="61" t="s">
        <v>15</v>
      </c>
      <c r="D194" s="62">
        <v>5</v>
      </c>
      <c r="E194" s="63">
        <v>62.84</v>
      </c>
      <c r="F194" s="39">
        <f t="shared" si="124"/>
        <v>5</v>
      </c>
      <c r="G194" s="63">
        <v>51.09</v>
      </c>
      <c r="H194" s="64">
        <f t="shared" si="114"/>
        <v>314.2</v>
      </c>
      <c r="I194" s="208" t="s">
        <v>519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115"/>
        <v>0</v>
      </c>
      <c r="U194" s="65">
        <f t="shared" si="116"/>
        <v>5</v>
      </c>
      <c r="V194" s="65">
        <f t="shared" si="117"/>
        <v>314.20000000000005</v>
      </c>
      <c r="W194" s="42">
        <f t="shared" si="118"/>
        <v>0</v>
      </c>
      <c r="X194" s="42">
        <f t="shared" si="119"/>
        <v>0</v>
      </c>
      <c r="Y194" s="43">
        <f t="shared" si="120"/>
        <v>0</v>
      </c>
      <c r="Z194" s="96">
        <f t="shared" si="121"/>
        <v>0</v>
      </c>
      <c r="AA194" s="96">
        <f t="shared" si="125"/>
        <v>0</v>
      </c>
      <c r="AB194" s="96">
        <f t="shared" si="123"/>
        <v>0</v>
      </c>
      <c r="AC194" s="5"/>
    </row>
    <row r="195" spans="1:29" s="87" customFormat="1" ht="25.5">
      <c r="A195" s="37" t="s">
        <v>293</v>
      </c>
      <c r="B195" s="38" t="s">
        <v>294</v>
      </c>
      <c r="C195" s="61" t="s">
        <v>15</v>
      </c>
      <c r="D195" s="62">
        <v>8</v>
      </c>
      <c r="E195" s="63">
        <v>62.84</v>
      </c>
      <c r="F195" s="39">
        <f t="shared" si="124"/>
        <v>8</v>
      </c>
      <c r="G195" s="63">
        <v>51.09</v>
      </c>
      <c r="H195" s="64">
        <f t="shared" si="114"/>
        <v>502.72</v>
      </c>
      <c r="I195" s="208" t="s">
        <v>520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115"/>
        <v>0</v>
      </c>
      <c r="U195" s="65">
        <f t="shared" si="116"/>
        <v>8</v>
      </c>
      <c r="V195" s="65">
        <f t="shared" si="117"/>
        <v>502.72</v>
      </c>
      <c r="W195" s="42">
        <f t="shared" si="118"/>
        <v>0</v>
      </c>
      <c r="X195" s="42">
        <f t="shared" si="119"/>
        <v>0</v>
      </c>
      <c r="Y195" s="43">
        <f t="shared" si="120"/>
        <v>0</v>
      </c>
      <c r="Z195" s="96">
        <f t="shared" si="121"/>
        <v>0</v>
      </c>
      <c r="AA195" s="96">
        <f t="shared" si="125"/>
        <v>0</v>
      </c>
      <c r="AB195" s="96">
        <f t="shared" si="123"/>
        <v>0</v>
      </c>
      <c r="AC195" s="5"/>
    </row>
    <row r="196" spans="1:29" s="87" customFormat="1" ht="25.5">
      <c r="A196" s="37" t="s">
        <v>295</v>
      </c>
      <c r="B196" s="38" t="s">
        <v>296</v>
      </c>
      <c r="C196" s="61" t="s">
        <v>15</v>
      </c>
      <c r="D196" s="62">
        <v>2</v>
      </c>
      <c r="E196" s="63">
        <v>511.69</v>
      </c>
      <c r="F196" s="39">
        <f t="shared" si="124"/>
        <v>2</v>
      </c>
      <c r="G196" s="63">
        <v>416.01</v>
      </c>
      <c r="H196" s="64">
        <f t="shared" si="114"/>
        <v>1023.38</v>
      </c>
      <c r="I196" s="155" t="s">
        <v>446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115"/>
        <v>0</v>
      </c>
      <c r="U196" s="65">
        <f t="shared" si="116"/>
        <v>2</v>
      </c>
      <c r="V196" s="65">
        <f t="shared" si="117"/>
        <v>1023.38</v>
      </c>
      <c r="W196" s="42">
        <f t="shared" si="118"/>
        <v>0</v>
      </c>
      <c r="X196" s="42">
        <f t="shared" si="119"/>
        <v>0</v>
      </c>
      <c r="Y196" s="43">
        <f t="shared" si="120"/>
        <v>0</v>
      </c>
      <c r="Z196" s="96">
        <f t="shared" si="121"/>
        <v>0</v>
      </c>
      <c r="AA196" s="96">
        <f t="shared" si="125"/>
        <v>0</v>
      </c>
      <c r="AB196" s="96">
        <f t="shared" si="123"/>
        <v>0</v>
      </c>
      <c r="AC196" s="5"/>
    </row>
    <row r="197" spans="1:29" s="87" customFormat="1" ht="25.5">
      <c r="A197" s="37" t="s">
        <v>297</v>
      </c>
      <c r="B197" s="38" t="s">
        <v>298</v>
      </c>
      <c r="C197" s="61" t="s">
        <v>15</v>
      </c>
      <c r="D197" s="62">
        <v>1</v>
      </c>
      <c r="E197" s="63">
        <v>246.47</v>
      </c>
      <c r="F197" s="39">
        <f t="shared" si="124"/>
        <v>1</v>
      </c>
      <c r="G197" s="63">
        <v>200.38</v>
      </c>
      <c r="H197" s="64">
        <f t="shared" si="114"/>
        <v>246.47</v>
      </c>
      <c r="I197" s="155" t="s">
        <v>446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115"/>
        <v>0</v>
      </c>
      <c r="U197" s="65">
        <f t="shared" si="116"/>
        <v>1</v>
      </c>
      <c r="V197" s="65">
        <f t="shared" si="117"/>
        <v>246.47</v>
      </c>
      <c r="W197" s="42">
        <f t="shared" si="118"/>
        <v>0</v>
      </c>
      <c r="X197" s="42">
        <f t="shared" si="119"/>
        <v>0</v>
      </c>
      <c r="Y197" s="43">
        <f t="shared" si="120"/>
        <v>0</v>
      </c>
      <c r="Z197" s="96">
        <f t="shared" si="121"/>
        <v>0</v>
      </c>
      <c r="AA197" s="96">
        <f t="shared" si="125"/>
        <v>0</v>
      </c>
      <c r="AB197" s="96">
        <f t="shared" si="123"/>
        <v>0</v>
      </c>
      <c r="AC197" s="5"/>
    </row>
    <row r="198" spans="1:29" s="87" customFormat="1">
      <c r="A198" s="37" t="s">
        <v>299</v>
      </c>
      <c r="B198" s="38" t="s">
        <v>300</v>
      </c>
      <c r="C198" s="61" t="s">
        <v>15</v>
      </c>
      <c r="D198" s="62">
        <v>1</v>
      </c>
      <c r="E198" s="63">
        <v>220.82</v>
      </c>
      <c r="F198" s="39">
        <f t="shared" si="124"/>
        <v>1</v>
      </c>
      <c r="G198" s="63">
        <v>179.53</v>
      </c>
      <c r="H198" s="64">
        <f t="shared" si="114"/>
        <v>220.82</v>
      </c>
      <c r="I198" s="155" t="s">
        <v>521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115"/>
        <v>0</v>
      </c>
      <c r="U198" s="65">
        <f t="shared" si="116"/>
        <v>1</v>
      </c>
      <c r="V198" s="65">
        <f t="shared" si="117"/>
        <v>220.82</v>
      </c>
      <c r="W198" s="42">
        <f t="shared" si="118"/>
        <v>0</v>
      </c>
      <c r="X198" s="42">
        <f t="shared" si="119"/>
        <v>0</v>
      </c>
      <c r="Y198" s="43">
        <f t="shared" si="120"/>
        <v>0</v>
      </c>
      <c r="Z198" s="96">
        <f t="shared" si="121"/>
        <v>0</v>
      </c>
      <c r="AA198" s="96">
        <f t="shared" si="125"/>
        <v>0</v>
      </c>
      <c r="AB198" s="96">
        <f t="shared" si="123"/>
        <v>0</v>
      </c>
      <c r="AC198" s="81"/>
    </row>
    <row r="199" spans="1:29" s="87" customFormat="1" ht="51">
      <c r="A199" s="37" t="s">
        <v>301</v>
      </c>
      <c r="B199" s="38" t="s">
        <v>302</v>
      </c>
      <c r="C199" s="61" t="s">
        <v>15</v>
      </c>
      <c r="D199" s="62">
        <v>1</v>
      </c>
      <c r="E199" s="63">
        <v>609.29</v>
      </c>
      <c r="F199" s="39">
        <f t="shared" si="124"/>
        <v>1</v>
      </c>
      <c r="G199" s="63">
        <v>495.36</v>
      </c>
      <c r="H199" s="64">
        <f t="shared" si="114"/>
        <v>609.29</v>
      </c>
      <c r="I199" s="155" t="s">
        <v>446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115"/>
        <v>0</v>
      </c>
      <c r="U199" s="65">
        <f t="shared" si="116"/>
        <v>1</v>
      </c>
      <c r="V199" s="65">
        <f t="shared" si="117"/>
        <v>609.29</v>
      </c>
      <c r="W199" s="42">
        <f t="shared" si="118"/>
        <v>0</v>
      </c>
      <c r="X199" s="42">
        <f t="shared" si="119"/>
        <v>0</v>
      </c>
      <c r="Y199" s="43">
        <f t="shared" si="120"/>
        <v>0</v>
      </c>
      <c r="Z199" s="96">
        <f t="shared" si="121"/>
        <v>0</v>
      </c>
      <c r="AA199" s="96">
        <f t="shared" si="125"/>
        <v>0</v>
      </c>
      <c r="AB199" s="96">
        <f t="shared" si="123"/>
        <v>0</v>
      </c>
      <c r="AC199" s="82"/>
    </row>
    <row r="200" spans="1:29" s="87" customFormat="1" ht="51">
      <c r="A200" s="37" t="s">
        <v>303</v>
      </c>
      <c r="B200" s="38" t="s">
        <v>304</v>
      </c>
      <c r="C200" s="61" t="s">
        <v>15</v>
      </c>
      <c r="D200" s="62">
        <v>1</v>
      </c>
      <c r="E200" s="63">
        <v>411.51</v>
      </c>
      <c r="F200" s="39">
        <f t="shared" si="124"/>
        <v>1</v>
      </c>
      <c r="G200" s="63">
        <v>334.56</v>
      </c>
      <c r="H200" s="64">
        <f t="shared" si="114"/>
        <v>411.51</v>
      </c>
      <c r="I200" s="155" t="s">
        <v>446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115"/>
        <v>0</v>
      </c>
      <c r="U200" s="65">
        <f t="shared" si="116"/>
        <v>1</v>
      </c>
      <c r="V200" s="65">
        <f t="shared" si="117"/>
        <v>411.51</v>
      </c>
      <c r="W200" s="42">
        <f t="shared" si="118"/>
        <v>0</v>
      </c>
      <c r="X200" s="42">
        <f t="shared" si="119"/>
        <v>0</v>
      </c>
      <c r="Y200" s="43">
        <f t="shared" si="120"/>
        <v>0</v>
      </c>
      <c r="Z200" s="96">
        <f t="shared" si="121"/>
        <v>0</v>
      </c>
      <c r="AA200" s="96">
        <f t="shared" si="125"/>
        <v>0</v>
      </c>
      <c r="AB200" s="96">
        <f t="shared" si="123"/>
        <v>0</v>
      </c>
      <c r="AC200" s="5"/>
    </row>
    <row r="201" spans="1:29">
      <c r="A201" s="192" t="s">
        <v>305</v>
      </c>
      <c r="B201" s="193" t="s">
        <v>306</v>
      </c>
      <c r="C201" s="192" t="s">
        <v>105</v>
      </c>
      <c r="D201" s="39">
        <v>22</v>
      </c>
      <c r="E201" s="40">
        <v>7.24</v>
      </c>
      <c r="F201" s="205"/>
      <c r="G201" s="40">
        <v>5.89</v>
      </c>
      <c r="H201" s="41">
        <f t="shared" si="114"/>
        <v>159.28</v>
      </c>
      <c r="I201" s="206" t="s">
        <v>446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115"/>
        <v>22</v>
      </c>
      <c r="U201" s="65">
        <f t="shared" si="116"/>
        <v>0</v>
      </c>
      <c r="V201" s="65">
        <f t="shared" si="117"/>
        <v>0</v>
      </c>
      <c r="W201" s="42">
        <f t="shared" si="118"/>
        <v>1</v>
      </c>
      <c r="X201" s="42">
        <f t="shared" si="119"/>
        <v>0</v>
      </c>
      <c r="Y201" s="43">
        <f t="shared" si="120"/>
        <v>1</v>
      </c>
      <c r="Z201" s="96">
        <f t="shared" si="121"/>
        <v>159.28</v>
      </c>
      <c r="AA201" s="96">
        <f t="shared" ref="AA201:AA206" si="126">Q201*E201</f>
        <v>0</v>
      </c>
      <c r="AB201" s="96">
        <f t="shared" si="123"/>
        <v>159.28</v>
      </c>
      <c r="AC201" s="5"/>
    </row>
    <row r="202" spans="1:29">
      <c r="A202" s="37" t="s">
        <v>307</v>
      </c>
      <c r="B202" s="38" t="s">
        <v>308</v>
      </c>
      <c r="C202" s="37" t="s">
        <v>105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114"/>
        <v>161.91999999999999</v>
      </c>
      <c r="I202" s="154" t="s">
        <v>446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115"/>
        <v>32</v>
      </c>
      <c r="U202" s="65">
        <f t="shared" si="116"/>
        <v>0</v>
      </c>
      <c r="V202" s="65">
        <f t="shared" si="117"/>
        <v>0</v>
      </c>
      <c r="W202" s="42">
        <f t="shared" si="118"/>
        <v>1</v>
      </c>
      <c r="X202" s="42">
        <f t="shared" si="119"/>
        <v>0</v>
      </c>
      <c r="Y202" s="43">
        <f t="shared" si="120"/>
        <v>1</v>
      </c>
      <c r="Z202" s="96">
        <f t="shared" si="121"/>
        <v>161.91999999999999</v>
      </c>
      <c r="AA202" s="96">
        <f t="shared" si="126"/>
        <v>0</v>
      </c>
      <c r="AB202" s="96">
        <f t="shared" si="123"/>
        <v>161.91999999999999</v>
      </c>
      <c r="AC202" s="5"/>
    </row>
    <row r="203" spans="1:29">
      <c r="A203" s="37" t="s">
        <v>309</v>
      </c>
      <c r="B203" s="38" t="s">
        <v>310</v>
      </c>
      <c r="C203" s="37" t="s">
        <v>105</v>
      </c>
      <c r="D203" s="39">
        <v>22</v>
      </c>
      <c r="E203" s="40">
        <v>11.75</v>
      </c>
      <c r="F203" s="40"/>
      <c r="G203" s="40">
        <v>9.5500000000000007</v>
      </c>
      <c r="H203" s="41">
        <f t="shared" si="114"/>
        <v>258.5</v>
      </c>
      <c r="I203" s="154" t="s">
        <v>446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115"/>
        <v>22</v>
      </c>
      <c r="U203" s="65">
        <f t="shared" si="116"/>
        <v>0</v>
      </c>
      <c r="V203" s="65">
        <f t="shared" si="117"/>
        <v>0</v>
      </c>
      <c r="W203" s="42">
        <f t="shared" si="118"/>
        <v>1</v>
      </c>
      <c r="X203" s="42">
        <f t="shared" si="119"/>
        <v>0</v>
      </c>
      <c r="Y203" s="43">
        <f t="shared" si="120"/>
        <v>1</v>
      </c>
      <c r="Z203" s="96">
        <f t="shared" si="121"/>
        <v>258.5</v>
      </c>
      <c r="AA203" s="96">
        <f t="shared" si="126"/>
        <v>0</v>
      </c>
      <c r="AB203" s="96">
        <f t="shared" si="123"/>
        <v>258.5</v>
      </c>
      <c r="AC203" s="5"/>
    </row>
    <row r="204" spans="1:29" ht="25.5">
      <c r="A204" s="37" t="s">
        <v>311</v>
      </c>
      <c r="B204" s="38" t="s">
        <v>312</v>
      </c>
      <c r="C204" s="37" t="s">
        <v>105</v>
      </c>
      <c r="D204" s="39">
        <v>86</v>
      </c>
      <c r="E204" s="40">
        <v>21.61</v>
      </c>
      <c r="F204" s="40"/>
      <c r="G204" s="40">
        <v>17.57</v>
      </c>
      <c r="H204" s="41">
        <f t="shared" si="114"/>
        <v>1858.46</v>
      </c>
      <c r="I204" s="154" t="s">
        <v>446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115"/>
        <v>86</v>
      </c>
      <c r="U204" s="65">
        <f t="shared" si="116"/>
        <v>0</v>
      </c>
      <c r="V204" s="65">
        <f t="shared" si="117"/>
        <v>0</v>
      </c>
      <c r="W204" s="42">
        <f t="shared" si="118"/>
        <v>1</v>
      </c>
      <c r="X204" s="42">
        <f t="shared" si="119"/>
        <v>0</v>
      </c>
      <c r="Y204" s="43">
        <f t="shared" si="120"/>
        <v>1</v>
      </c>
      <c r="Z204" s="96">
        <f t="shared" si="121"/>
        <v>1858.46</v>
      </c>
      <c r="AA204" s="96">
        <f t="shared" si="126"/>
        <v>0</v>
      </c>
      <c r="AB204" s="96">
        <f t="shared" si="123"/>
        <v>1858.46</v>
      </c>
      <c r="AC204" s="5"/>
    </row>
    <row r="205" spans="1:29" ht="25.5">
      <c r="A205" s="37" t="s">
        <v>313</v>
      </c>
      <c r="B205" s="38" t="s">
        <v>314</v>
      </c>
      <c r="C205" s="37" t="s">
        <v>105</v>
      </c>
      <c r="D205" s="39">
        <v>17</v>
      </c>
      <c r="E205" s="40">
        <v>22.85</v>
      </c>
      <c r="F205" s="40"/>
      <c r="G205" s="40">
        <v>18.579999999999998</v>
      </c>
      <c r="H205" s="41">
        <f t="shared" si="114"/>
        <v>388.45</v>
      </c>
      <c r="I205" s="154" t="s">
        <v>446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115"/>
        <v>17</v>
      </c>
      <c r="U205" s="65">
        <f t="shared" si="116"/>
        <v>0</v>
      </c>
      <c r="V205" s="65">
        <f t="shared" si="117"/>
        <v>0</v>
      </c>
      <c r="W205" s="42">
        <f t="shared" si="118"/>
        <v>1</v>
      </c>
      <c r="X205" s="42">
        <f t="shared" si="119"/>
        <v>0</v>
      </c>
      <c r="Y205" s="43">
        <f t="shared" si="120"/>
        <v>1</v>
      </c>
      <c r="Z205" s="96">
        <f t="shared" si="121"/>
        <v>388.45000000000005</v>
      </c>
      <c r="AA205" s="96">
        <f t="shared" si="126"/>
        <v>0</v>
      </c>
      <c r="AB205" s="96">
        <f t="shared" si="123"/>
        <v>388.45000000000005</v>
      </c>
      <c r="AC205" s="5"/>
    </row>
    <row r="206" spans="1:29" ht="25.5">
      <c r="A206" s="182" t="s">
        <v>315</v>
      </c>
      <c r="B206" s="183" t="s">
        <v>316</v>
      </c>
      <c r="C206" s="182" t="s">
        <v>105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114"/>
        <v>1320.56</v>
      </c>
      <c r="I206" s="187" t="s">
        <v>446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115"/>
        <v>34</v>
      </c>
      <c r="U206" s="65">
        <f t="shared" si="116"/>
        <v>0</v>
      </c>
      <c r="V206" s="65">
        <f t="shared" si="117"/>
        <v>0</v>
      </c>
      <c r="W206" s="42">
        <f t="shared" si="118"/>
        <v>1</v>
      </c>
      <c r="X206" s="42">
        <f t="shared" si="119"/>
        <v>0</v>
      </c>
      <c r="Y206" s="43">
        <f t="shared" si="120"/>
        <v>1</v>
      </c>
      <c r="Z206" s="96">
        <f t="shared" si="121"/>
        <v>1320.5600000000002</v>
      </c>
      <c r="AA206" s="96">
        <f t="shared" si="126"/>
        <v>0</v>
      </c>
      <c r="AB206" s="96">
        <f t="shared" si="123"/>
        <v>1320.5600000000002</v>
      </c>
      <c r="AC206" s="5"/>
    </row>
    <row r="207" spans="1:29" s="87" customFormat="1" ht="25.5">
      <c r="A207" s="37" t="s">
        <v>317</v>
      </c>
      <c r="B207" s="38" t="s">
        <v>318</v>
      </c>
      <c r="C207" s="61" t="s">
        <v>15</v>
      </c>
      <c r="D207" s="62">
        <v>6</v>
      </c>
      <c r="E207" s="63">
        <v>111.44</v>
      </c>
      <c r="F207" s="39">
        <f t="shared" ref="F207:F209" si="127">U207</f>
        <v>6</v>
      </c>
      <c r="G207" s="63">
        <v>90.6</v>
      </c>
      <c r="H207" s="64">
        <f t="shared" si="114"/>
        <v>668.64</v>
      </c>
      <c r="I207" s="208" t="s">
        <v>522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115"/>
        <v>0</v>
      </c>
      <c r="U207" s="65">
        <f t="shared" si="116"/>
        <v>6</v>
      </c>
      <c r="V207" s="65">
        <f t="shared" si="117"/>
        <v>668.64</v>
      </c>
      <c r="W207" s="42">
        <f t="shared" si="118"/>
        <v>0</v>
      </c>
      <c r="X207" s="42">
        <f t="shared" si="119"/>
        <v>0</v>
      </c>
      <c r="Y207" s="43">
        <f t="shared" si="120"/>
        <v>0</v>
      </c>
      <c r="Z207" s="96">
        <f t="shared" si="121"/>
        <v>0</v>
      </c>
      <c r="AA207" s="96">
        <f t="shared" ref="AA207:AA209" si="128">S207*G207</f>
        <v>0</v>
      </c>
      <c r="AB207" s="96">
        <f t="shared" si="123"/>
        <v>0</v>
      </c>
      <c r="AC207" s="5"/>
    </row>
    <row r="208" spans="1:29" s="87" customFormat="1" ht="25.5">
      <c r="A208" s="37" t="s">
        <v>319</v>
      </c>
      <c r="B208" s="38" t="s">
        <v>320</v>
      </c>
      <c r="C208" s="61" t="s">
        <v>15</v>
      </c>
      <c r="D208" s="62">
        <v>1</v>
      </c>
      <c r="E208" s="63">
        <v>80.23</v>
      </c>
      <c r="F208" s="39">
        <f t="shared" si="127"/>
        <v>1</v>
      </c>
      <c r="G208" s="63">
        <v>65.23</v>
      </c>
      <c r="H208" s="64">
        <f t="shared" si="114"/>
        <v>80.23</v>
      </c>
      <c r="I208" s="208" t="s">
        <v>523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115"/>
        <v>0</v>
      </c>
      <c r="U208" s="65">
        <f t="shared" si="116"/>
        <v>1</v>
      </c>
      <c r="V208" s="65">
        <f t="shared" si="117"/>
        <v>80.23</v>
      </c>
      <c r="W208" s="42">
        <f t="shared" si="118"/>
        <v>0</v>
      </c>
      <c r="X208" s="42">
        <f t="shared" si="119"/>
        <v>0</v>
      </c>
      <c r="Y208" s="43">
        <f t="shared" si="120"/>
        <v>0</v>
      </c>
      <c r="Z208" s="96">
        <f t="shared" si="121"/>
        <v>0</v>
      </c>
      <c r="AA208" s="96">
        <f t="shared" si="128"/>
        <v>0</v>
      </c>
      <c r="AB208" s="96">
        <f t="shared" si="123"/>
        <v>0</v>
      </c>
      <c r="AC208" s="5"/>
    </row>
    <row r="209" spans="1:29" s="87" customFormat="1" ht="38.25">
      <c r="A209" s="37" t="s">
        <v>321</v>
      </c>
      <c r="B209" s="38" t="s">
        <v>322</v>
      </c>
      <c r="C209" s="61" t="s">
        <v>15</v>
      </c>
      <c r="D209" s="62">
        <v>15</v>
      </c>
      <c r="E209" s="63">
        <v>608.30999999999995</v>
      </c>
      <c r="F209" s="39">
        <f t="shared" si="127"/>
        <v>15</v>
      </c>
      <c r="G209" s="63">
        <v>494.56</v>
      </c>
      <c r="H209" s="64">
        <f t="shared" si="114"/>
        <v>9124.65</v>
      </c>
      <c r="I209" s="155" t="s">
        <v>446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115"/>
        <v>0</v>
      </c>
      <c r="U209" s="65">
        <f t="shared" si="116"/>
        <v>15</v>
      </c>
      <c r="V209" s="65">
        <f t="shared" si="117"/>
        <v>9124.65</v>
      </c>
      <c r="W209" s="42">
        <f t="shared" si="118"/>
        <v>0</v>
      </c>
      <c r="X209" s="42">
        <f t="shared" si="119"/>
        <v>0</v>
      </c>
      <c r="Y209" s="43">
        <f t="shared" si="120"/>
        <v>0</v>
      </c>
      <c r="Z209" s="96">
        <f t="shared" si="121"/>
        <v>0</v>
      </c>
      <c r="AA209" s="96">
        <f t="shared" si="128"/>
        <v>0</v>
      </c>
      <c r="AB209" s="96">
        <f t="shared" si="123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115"/>
        <v>0</v>
      </c>
      <c r="U210" s="79"/>
      <c r="V210" s="65">
        <f t="shared" si="117"/>
        <v>0</v>
      </c>
      <c r="W210" s="42">
        <v>0</v>
      </c>
      <c r="X210" s="42">
        <f t="shared" si="119"/>
        <v>0</v>
      </c>
      <c r="Y210" s="43">
        <f t="shared" si="120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323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324</v>
      </c>
      <c r="B212" s="38" t="s">
        <v>325</v>
      </c>
      <c r="C212" s="61" t="s">
        <v>15</v>
      </c>
      <c r="D212" s="62">
        <v>5</v>
      </c>
      <c r="E212" s="63">
        <v>25.71</v>
      </c>
      <c r="F212" s="39">
        <f t="shared" ref="F212:F217" si="129">U212</f>
        <v>5</v>
      </c>
      <c r="G212" s="63">
        <v>20.9</v>
      </c>
      <c r="H212" s="64">
        <f t="shared" ref="H212:H217" si="130">ROUND(D212*E212,2)</f>
        <v>128.55000000000001</v>
      </c>
      <c r="I212" s="155" t="s">
        <v>446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131">SUM(J212:S212)</f>
        <v>0</v>
      </c>
      <c r="U212" s="65">
        <f t="shared" ref="U212:U217" si="132">D212-T212</f>
        <v>5</v>
      </c>
      <c r="V212" s="65">
        <f t="shared" ref="V212:V218" si="133">U212*E212</f>
        <v>128.55000000000001</v>
      </c>
      <c r="W212" s="42">
        <f t="shared" ref="W212:W217" si="134">(SUM(J212:R212))/D212</f>
        <v>0</v>
      </c>
      <c r="X212" s="42">
        <f t="shared" ref="X212:X218" si="135">IF(D212=0,0,S212/D212)</f>
        <v>0</v>
      </c>
      <c r="Y212" s="43">
        <f t="shared" ref="Y212:Y218" si="136">W212+X212</f>
        <v>0</v>
      </c>
      <c r="Z212" s="96">
        <f t="shared" ref="Z212:Z217" si="137">(J212+K212+L212+M212+N212)*E212</f>
        <v>0</v>
      </c>
      <c r="AA212" s="96">
        <f t="shared" ref="AA212:AA217" si="138">S212*G212</f>
        <v>0</v>
      </c>
      <c r="AB212" s="96">
        <f t="shared" ref="AB212:AB217" si="139">(J212+K212+L212+M212+N212+O212)*E212</f>
        <v>0</v>
      </c>
      <c r="AC212" s="5"/>
    </row>
    <row r="213" spans="1:29" s="87" customFormat="1">
      <c r="A213" s="37" t="s">
        <v>326</v>
      </c>
      <c r="B213" s="38" t="s">
        <v>327</v>
      </c>
      <c r="C213" s="61" t="s">
        <v>15</v>
      </c>
      <c r="D213" s="62">
        <v>12</v>
      </c>
      <c r="E213" s="63">
        <v>1.65</v>
      </c>
      <c r="F213" s="39">
        <f t="shared" si="129"/>
        <v>12</v>
      </c>
      <c r="G213" s="63">
        <v>1.34</v>
      </c>
      <c r="H213" s="64">
        <f t="shared" si="130"/>
        <v>19.8</v>
      </c>
      <c r="I213" s="155" t="s">
        <v>446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131"/>
        <v>0</v>
      </c>
      <c r="U213" s="65">
        <f t="shared" si="132"/>
        <v>12</v>
      </c>
      <c r="V213" s="65">
        <f t="shared" si="133"/>
        <v>19.799999999999997</v>
      </c>
      <c r="W213" s="42">
        <f t="shared" si="134"/>
        <v>0</v>
      </c>
      <c r="X213" s="42">
        <f t="shared" si="135"/>
        <v>0</v>
      </c>
      <c r="Y213" s="43">
        <f t="shared" si="136"/>
        <v>0</v>
      </c>
      <c r="Z213" s="96">
        <f t="shared" si="137"/>
        <v>0</v>
      </c>
      <c r="AA213" s="96">
        <f t="shared" si="138"/>
        <v>0</v>
      </c>
      <c r="AB213" s="96">
        <f t="shared" si="139"/>
        <v>0</v>
      </c>
      <c r="AC213" s="5"/>
    </row>
    <row r="214" spans="1:29" s="87" customFormat="1">
      <c r="A214" s="37" t="s">
        <v>328</v>
      </c>
      <c r="B214" s="38" t="s">
        <v>329</v>
      </c>
      <c r="C214" s="61" t="s">
        <v>15</v>
      </c>
      <c r="D214" s="62">
        <v>24</v>
      </c>
      <c r="E214" s="63">
        <v>54.82</v>
      </c>
      <c r="F214" s="39">
        <f t="shared" si="129"/>
        <v>24</v>
      </c>
      <c r="G214" s="63">
        <v>44.57</v>
      </c>
      <c r="H214" s="64">
        <f t="shared" si="130"/>
        <v>1315.68</v>
      </c>
      <c r="I214" s="155" t="s">
        <v>446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131"/>
        <v>0</v>
      </c>
      <c r="U214" s="65">
        <f t="shared" si="132"/>
        <v>24</v>
      </c>
      <c r="V214" s="65">
        <f t="shared" si="133"/>
        <v>1315.68</v>
      </c>
      <c r="W214" s="42">
        <f t="shared" si="134"/>
        <v>0</v>
      </c>
      <c r="X214" s="42">
        <f t="shared" si="135"/>
        <v>0</v>
      </c>
      <c r="Y214" s="43">
        <f t="shared" si="136"/>
        <v>0</v>
      </c>
      <c r="Z214" s="96">
        <f t="shared" si="137"/>
        <v>0</v>
      </c>
      <c r="AA214" s="96">
        <f t="shared" si="138"/>
        <v>0</v>
      </c>
      <c r="AB214" s="96">
        <f t="shared" si="139"/>
        <v>0</v>
      </c>
      <c r="AC214" s="5"/>
    </row>
    <row r="215" spans="1:29" s="87" customFormat="1">
      <c r="A215" s="37" t="s">
        <v>330</v>
      </c>
      <c r="B215" s="38" t="s">
        <v>331</v>
      </c>
      <c r="C215" s="61" t="s">
        <v>15</v>
      </c>
      <c r="D215" s="62">
        <v>5</v>
      </c>
      <c r="E215" s="63">
        <v>48.17</v>
      </c>
      <c r="F215" s="39">
        <f t="shared" si="129"/>
        <v>5</v>
      </c>
      <c r="G215" s="63">
        <v>39.159999999999997</v>
      </c>
      <c r="H215" s="64">
        <f t="shared" si="130"/>
        <v>240.85</v>
      </c>
      <c r="I215" s="155" t="s">
        <v>446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131"/>
        <v>0</v>
      </c>
      <c r="U215" s="65">
        <f t="shared" si="132"/>
        <v>5</v>
      </c>
      <c r="V215" s="65">
        <f t="shared" si="133"/>
        <v>240.85000000000002</v>
      </c>
      <c r="W215" s="42">
        <f t="shared" si="134"/>
        <v>0</v>
      </c>
      <c r="X215" s="42">
        <f t="shared" si="135"/>
        <v>0</v>
      </c>
      <c r="Y215" s="43">
        <f t="shared" si="136"/>
        <v>0</v>
      </c>
      <c r="Z215" s="96">
        <f t="shared" si="137"/>
        <v>0</v>
      </c>
      <c r="AA215" s="96">
        <f t="shared" si="138"/>
        <v>0</v>
      </c>
      <c r="AB215" s="96">
        <f t="shared" si="139"/>
        <v>0</v>
      </c>
      <c r="AC215" s="5"/>
    </row>
    <row r="216" spans="1:29" s="87" customFormat="1">
      <c r="A216" s="37" t="s">
        <v>332</v>
      </c>
      <c r="B216" s="38" t="s">
        <v>333</v>
      </c>
      <c r="C216" s="61" t="s">
        <v>15</v>
      </c>
      <c r="D216" s="62">
        <v>18</v>
      </c>
      <c r="E216" s="63">
        <v>10.79</v>
      </c>
      <c r="F216" s="39">
        <f t="shared" si="129"/>
        <v>18</v>
      </c>
      <c r="G216" s="63">
        <v>8.77</v>
      </c>
      <c r="H216" s="64">
        <f t="shared" si="130"/>
        <v>194.22</v>
      </c>
      <c r="I216" s="155" t="s">
        <v>446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131"/>
        <v>0</v>
      </c>
      <c r="U216" s="65">
        <f t="shared" si="132"/>
        <v>18</v>
      </c>
      <c r="V216" s="65">
        <f t="shared" si="133"/>
        <v>194.21999999999997</v>
      </c>
      <c r="W216" s="42">
        <f t="shared" si="134"/>
        <v>0</v>
      </c>
      <c r="X216" s="42">
        <f t="shared" si="135"/>
        <v>0</v>
      </c>
      <c r="Y216" s="43">
        <f t="shared" si="136"/>
        <v>0</v>
      </c>
      <c r="Z216" s="96">
        <f t="shared" si="137"/>
        <v>0</v>
      </c>
      <c r="AA216" s="96">
        <f t="shared" si="138"/>
        <v>0</v>
      </c>
      <c r="AB216" s="96">
        <f t="shared" si="139"/>
        <v>0</v>
      </c>
      <c r="AC216" s="5"/>
    </row>
    <row r="217" spans="1:29" s="87" customFormat="1">
      <c r="A217" s="37" t="s">
        <v>334</v>
      </c>
      <c r="B217" s="38" t="s">
        <v>335</v>
      </c>
      <c r="C217" s="61" t="s">
        <v>15</v>
      </c>
      <c r="D217" s="62">
        <v>5</v>
      </c>
      <c r="E217" s="63">
        <v>11.81</v>
      </c>
      <c r="F217" s="39">
        <f t="shared" si="129"/>
        <v>5</v>
      </c>
      <c r="G217" s="63">
        <v>9.6</v>
      </c>
      <c r="H217" s="64">
        <f t="shared" si="130"/>
        <v>59.05</v>
      </c>
      <c r="I217" s="155" t="s">
        <v>446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131"/>
        <v>0</v>
      </c>
      <c r="U217" s="65">
        <f t="shared" si="132"/>
        <v>5</v>
      </c>
      <c r="V217" s="65">
        <f t="shared" si="133"/>
        <v>59.050000000000004</v>
      </c>
      <c r="W217" s="42">
        <f t="shared" si="134"/>
        <v>0</v>
      </c>
      <c r="X217" s="42">
        <f t="shared" si="135"/>
        <v>0</v>
      </c>
      <c r="Y217" s="43">
        <f t="shared" si="136"/>
        <v>0</v>
      </c>
      <c r="Z217" s="96">
        <f t="shared" si="137"/>
        <v>0</v>
      </c>
      <c r="AA217" s="96">
        <f t="shared" si="138"/>
        <v>0</v>
      </c>
      <c r="AB217" s="96">
        <f t="shared" si="139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131"/>
        <v>0</v>
      </c>
      <c r="U218" s="79"/>
      <c r="V218" s="65">
        <f t="shared" si="133"/>
        <v>0</v>
      </c>
      <c r="W218" s="42">
        <v>0</v>
      </c>
      <c r="X218" s="42">
        <f t="shared" si="135"/>
        <v>0</v>
      </c>
      <c r="Y218" s="43">
        <f t="shared" si="136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336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337</v>
      </c>
      <c r="B220" s="38" t="s">
        <v>338</v>
      </c>
      <c r="C220" s="61" t="s">
        <v>8</v>
      </c>
      <c r="D220" s="62">
        <v>147</v>
      </c>
      <c r="E220" s="63">
        <v>124.25</v>
      </c>
      <c r="F220" s="39">
        <f t="shared" ref="F220:F222" si="140">U220</f>
        <v>147</v>
      </c>
      <c r="G220" s="63">
        <v>101.02</v>
      </c>
      <c r="H220" s="64">
        <f t="shared" ref="H220:H231" si="141">ROUND(D220*E220,2)</f>
        <v>18264.75</v>
      </c>
      <c r="I220" s="208" t="s">
        <v>524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142">SUM(J220:S220)</f>
        <v>0</v>
      </c>
      <c r="U220" s="65">
        <f t="shared" ref="U220:U231" si="143">D220-T220</f>
        <v>147</v>
      </c>
      <c r="V220" s="65">
        <f t="shared" ref="V220:V231" si="144">U220*E220</f>
        <v>18264.75</v>
      </c>
      <c r="W220" s="42">
        <f t="shared" ref="W220:W231" si="145">(SUM(J220:R220))/D220</f>
        <v>0</v>
      </c>
      <c r="X220" s="42">
        <f t="shared" ref="X220:X231" si="146">IF(D220=0,0,S220/D220)</f>
        <v>0</v>
      </c>
      <c r="Y220" s="43">
        <f t="shared" ref="Y220:Y230" si="147">W220+X220</f>
        <v>0</v>
      </c>
      <c r="Z220" s="96">
        <f t="shared" ref="Z220:Z231" si="148">(J220+K220+L220+M220+N220)*E220</f>
        <v>0</v>
      </c>
      <c r="AA220" s="96">
        <f t="shared" ref="AA220:AA222" si="149">S220*G220</f>
        <v>0</v>
      </c>
      <c r="AB220" s="96">
        <f t="shared" ref="AB220:AB231" si="150">(J220+K220+L220+M220+N220+O220)*E220</f>
        <v>0</v>
      </c>
      <c r="AC220" s="5"/>
    </row>
    <row r="221" spans="1:29" s="87" customFormat="1" ht="38.25">
      <c r="A221" s="37" t="s">
        <v>339</v>
      </c>
      <c r="B221" s="38" t="s">
        <v>340</v>
      </c>
      <c r="C221" s="61" t="s">
        <v>15</v>
      </c>
      <c r="D221" s="62">
        <v>4</v>
      </c>
      <c r="E221" s="63">
        <v>1078.55</v>
      </c>
      <c r="F221" s="39">
        <f t="shared" si="140"/>
        <v>4</v>
      </c>
      <c r="G221" s="63">
        <v>876.87</v>
      </c>
      <c r="H221" s="64">
        <f t="shared" si="141"/>
        <v>4314.2</v>
      </c>
      <c r="I221" s="155" t="s">
        <v>446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142"/>
        <v>0</v>
      </c>
      <c r="U221" s="65">
        <f t="shared" si="143"/>
        <v>4</v>
      </c>
      <c r="V221" s="65">
        <f t="shared" si="144"/>
        <v>4314.2</v>
      </c>
      <c r="W221" s="42">
        <f t="shared" si="145"/>
        <v>0</v>
      </c>
      <c r="X221" s="42">
        <f t="shared" si="146"/>
        <v>0</v>
      </c>
      <c r="Y221" s="43">
        <f t="shared" si="147"/>
        <v>0</v>
      </c>
      <c r="Z221" s="96">
        <f t="shared" si="148"/>
        <v>0</v>
      </c>
      <c r="AA221" s="96">
        <f t="shared" si="149"/>
        <v>0</v>
      </c>
      <c r="AB221" s="96">
        <f t="shared" si="150"/>
        <v>0</v>
      </c>
      <c r="AC221" s="5"/>
    </row>
    <row r="222" spans="1:29" s="87" customFormat="1" ht="38.25">
      <c r="A222" s="37" t="s">
        <v>341</v>
      </c>
      <c r="B222" s="38" t="s">
        <v>342</v>
      </c>
      <c r="C222" s="61" t="s">
        <v>105</v>
      </c>
      <c r="D222" s="62">
        <v>4.8</v>
      </c>
      <c r="E222" s="63">
        <v>146.54</v>
      </c>
      <c r="F222" s="39">
        <f t="shared" si="140"/>
        <v>4.8</v>
      </c>
      <c r="G222" s="63">
        <v>119.14</v>
      </c>
      <c r="H222" s="64">
        <f t="shared" si="141"/>
        <v>703.39</v>
      </c>
      <c r="I222" s="208" t="s">
        <v>525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142"/>
        <v>0</v>
      </c>
      <c r="U222" s="65">
        <f t="shared" si="143"/>
        <v>4.8</v>
      </c>
      <c r="V222" s="65">
        <f t="shared" si="144"/>
        <v>703.39199999999994</v>
      </c>
      <c r="W222" s="42">
        <f t="shared" si="145"/>
        <v>0</v>
      </c>
      <c r="X222" s="42">
        <f t="shared" si="146"/>
        <v>0</v>
      </c>
      <c r="Y222" s="43">
        <f t="shared" si="147"/>
        <v>0</v>
      </c>
      <c r="Z222" s="96">
        <f t="shared" si="148"/>
        <v>0</v>
      </c>
      <c r="AA222" s="96">
        <f t="shared" si="149"/>
        <v>0</v>
      </c>
      <c r="AB222" s="96">
        <f t="shared" si="150"/>
        <v>0</v>
      </c>
      <c r="AC222" s="5"/>
    </row>
    <row r="223" spans="1:29" s="87" customFormat="1" ht="25.5">
      <c r="A223" s="130" t="s">
        <v>343</v>
      </c>
      <c r="B223" s="188" t="s">
        <v>344</v>
      </c>
      <c r="C223" s="189" t="s">
        <v>105</v>
      </c>
      <c r="D223" s="62">
        <v>4.8</v>
      </c>
      <c r="E223" s="63">
        <v>144.6</v>
      </c>
      <c r="F223" s="190"/>
      <c r="G223" s="63">
        <v>117.56</v>
      </c>
      <c r="H223" s="64">
        <f t="shared" si="141"/>
        <v>694.08</v>
      </c>
      <c r="I223" s="165" t="s">
        <v>526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143"/>
        <v>0</v>
      </c>
      <c r="V223" s="65">
        <f t="shared" si="144"/>
        <v>0</v>
      </c>
      <c r="W223" s="42">
        <f t="shared" si="145"/>
        <v>1</v>
      </c>
      <c r="X223" s="42">
        <f t="shared" si="146"/>
        <v>0</v>
      </c>
      <c r="Y223" s="43">
        <f t="shared" si="147"/>
        <v>1</v>
      </c>
      <c r="Z223" s="96">
        <f t="shared" si="148"/>
        <v>694.07999999999993</v>
      </c>
      <c r="AA223" s="96">
        <f>Q223*E223</f>
        <v>0</v>
      </c>
      <c r="AB223" s="96">
        <f t="shared" si="150"/>
        <v>694.07999999999993</v>
      </c>
      <c r="AC223" s="5"/>
    </row>
    <row r="224" spans="1:29" ht="38.25">
      <c r="A224" s="37" t="s">
        <v>345</v>
      </c>
      <c r="B224" s="38" t="s">
        <v>346</v>
      </c>
      <c r="C224" s="37" t="s">
        <v>15</v>
      </c>
      <c r="D224" s="39">
        <v>2</v>
      </c>
      <c r="E224" s="40">
        <v>187.17</v>
      </c>
      <c r="F224" s="39">
        <f t="shared" ref="F224:F231" si="151">U224</f>
        <v>2</v>
      </c>
      <c r="G224" s="40">
        <v>152.16999999999999</v>
      </c>
      <c r="H224" s="41">
        <f t="shared" si="141"/>
        <v>374.34</v>
      </c>
      <c r="I224" s="154" t="s">
        <v>446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142"/>
        <v>0</v>
      </c>
      <c r="U224" s="65">
        <f t="shared" si="143"/>
        <v>2</v>
      </c>
      <c r="V224" s="65">
        <f t="shared" si="144"/>
        <v>374.34</v>
      </c>
      <c r="W224" s="42">
        <f t="shared" si="145"/>
        <v>0</v>
      </c>
      <c r="X224" s="42">
        <f t="shared" si="146"/>
        <v>0</v>
      </c>
      <c r="Y224" s="43">
        <f t="shared" si="147"/>
        <v>0</v>
      </c>
      <c r="Z224" s="96">
        <f t="shared" si="148"/>
        <v>0</v>
      </c>
      <c r="AA224" s="96">
        <f t="shared" ref="AA224:AA231" si="152">S224*G224</f>
        <v>0</v>
      </c>
      <c r="AB224" s="96">
        <f t="shared" si="150"/>
        <v>0</v>
      </c>
      <c r="AC224" s="5"/>
    </row>
    <row r="225" spans="1:29" ht="38.25">
      <c r="A225" s="37" t="s">
        <v>347</v>
      </c>
      <c r="B225" s="38" t="s">
        <v>348</v>
      </c>
      <c r="C225" s="37" t="s">
        <v>15</v>
      </c>
      <c r="D225" s="39">
        <v>8</v>
      </c>
      <c r="E225" s="40">
        <v>106.95</v>
      </c>
      <c r="F225" s="39">
        <f t="shared" si="151"/>
        <v>8</v>
      </c>
      <c r="G225" s="40">
        <v>86.95</v>
      </c>
      <c r="H225" s="41">
        <f t="shared" si="141"/>
        <v>855.6</v>
      </c>
      <c r="I225" s="208" t="s">
        <v>527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142"/>
        <v>0</v>
      </c>
      <c r="U225" s="65">
        <f t="shared" si="143"/>
        <v>8</v>
      </c>
      <c r="V225" s="65">
        <f t="shared" si="144"/>
        <v>855.6</v>
      </c>
      <c r="W225" s="42">
        <f t="shared" si="145"/>
        <v>0</v>
      </c>
      <c r="X225" s="42">
        <f t="shared" si="146"/>
        <v>0</v>
      </c>
      <c r="Y225" s="43">
        <f t="shared" si="147"/>
        <v>0</v>
      </c>
      <c r="Z225" s="96">
        <f t="shared" si="148"/>
        <v>0</v>
      </c>
      <c r="AA225" s="96">
        <f t="shared" si="152"/>
        <v>0</v>
      </c>
      <c r="AB225" s="96">
        <f t="shared" si="150"/>
        <v>0</v>
      </c>
      <c r="AC225" s="5"/>
    </row>
    <row r="226" spans="1:29" s="87" customFormat="1">
      <c r="A226" s="37" t="s">
        <v>349</v>
      </c>
      <c r="B226" s="38" t="s">
        <v>350</v>
      </c>
      <c r="C226" s="61" t="s">
        <v>8</v>
      </c>
      <c r="D226" s="62">
        <v>4.5</v>
      </c>
      <c r="E226" s="63">
        <v>332.7</v>
      </c>
      <c r="F226" s="39">
        <f t="shared" si="151"/>
        <v>4.5</v>
      </c>
      <c r="G226" s="63">
        <v>270.49</v>
      </c>
      <c r="H226" s="64">
        <f t="shared" si="141"/>
        <v>1497.15</v>
      </c>
      <c r="I226" s="208" t="s">
        <v>528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142"/>
        <v>0</v>
      </c>
      <c r="U226" s="65">
        <f t="shared" si="143"/>
        <v>4.5</v>
      </c>
      <c r="V226" s="65">
        <f t="shared" si="144"/>
        <v>1497.1499999999999</v>
      </c>
      <c r="W226" s="42">
        <f t="shared" si="145"/>
        <v>0</v>
      </c>
      <c r="X226" s="42">
        <f t="shared" si="146"/>
        <v>0</v>
      </c>
      <c r="Y226" s="43">
        <f t="shared" si="147"/>
        <v>0</v>
      </c>
      <c r="Z226" s="96">
        <f t="shared" si="148"/>
        <v>0</v>
      </c>
      <c r="AA226" s="96">
        <f t="shared" si="152"/>
        <v>0</v>
      </c>
      <c r="AB226" s="96">
        <f t="shared" si="150"/>
        <v>0</v>
      </c>
      <c r="AC226" s="5"/>
    </row>
    <row r="227" spans="1:29" s="87" customFormat="1">
      <c r="A227" s="37" t="s">
        <v>351</v>
      </c>
      <c r="B227" s="38" t="s">
        <v>352</v>
      </c>
      <c r="C227" s="61" t="s">
        <v>353</v>
      </c>
      <c r="D227" s="62">
        <v>1</v>
      </c>
      <c r="E227" s="63">
        <v>8150.35</v>
      </c>
      <c r="F227" s="39">
        <f t="shared" si="151"/>
        <v>1</v>
      </c>
      <c r="G227" s="63">
        <v>6626.3</v>
      </c>
      <c r="H227" s="64">
        <f t="shared" si="141"/>
        <v>8150.35</v>
      </c>
      <c r="I227" s="155" t="s">
        <v>446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142"/>
        <v>0</v>
      </c>
      <c r="U227" s="65">
        <f t="shared" si="143"/>
        <v>1</v>
      </c>
      <c r="V227" s="65">
        <f t="shared" si="144"/>
        <v>8150.35</v>
      </c>
      <c r="W227" s="42">
        <f t="shared" si="145"/>
        <v>0</v>
      </c>
      <c r="X227" s="42">
        <f t="shared" si="146"/>
        <v>0</v>
      </c>
      <c r="Y227" s="43">
        <f t="shared" si="147"/>
        <v>0</v>
      </c>
      <c r="Z227" s="96">
        <f t="shared" si="148"/>
        <v>0</v>
      </c>
      <c r="AA227" s="96">
        <f t="shared" si="152"/>
        <v>0</v>
      </c>
      <c r="AB227" s="96">
        <f t="shared" si="150"/>
        <v>0</v>
      </c>
      <c r="AC227" s="5"/>
    </row>
    <row r="228" spans="1:29" s="87" customFormat="1">
      <c r="A228" s="37" t="s">
        <v>354</v>
      </c>
      <c r="B228" s="38" t="s">
        <v>355</v>
      </c>
      <c r="C228" s="61" t="s">
        <v>353</v>
      </c>
      <c r="D228" s="62">
        <v>1</v>
      </c>
      <c r="E228" s="63">
        <v>3425.41</v>
      </c>
      <c r="F228" s="39">
        <f t="shared" si="151"/>
        <v>1</v>
      </c>
      <c r="G228" s="63">
        <v>2784.89</v>
      </c>
      <c r="H228" s="64">
        <f t="shared" si="141"/>
        <v>3425.41</v>
      </c>
      <c r="I228" s="155" t="s">
        <v>446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142"/>
        <v>0</v>
      </c>
      <c r="U228" s="65">
        <f t="shared" si="143"/>
        <v>1</v>
      </c>
      <c r="V228" s="65">
        <f t="shared" si="144"/>
        <v>3425.41</v>
      </c>
      <c r="W228" s="42">
        <f t="shared" si="145"/>
        <v>0</v>
      </c>
      <c r="X228" s="42">
        <f t="shared" si="146"/>
        <v>0</v>
      </c>
      <c r="Y228" s="43">
        <f t="shared" si="147"/>
        <v>0</v>
      </c>
      <c r="Z228" s="96">
        <f t="shared" si="148"/>
        <v>0</v>
      </c>
      <c r="AA228" s="96">
        <f t="shared" si="152"/>
        <v>0</v>
      </c>
      <c r="AB228" s="96">
        <f t="shared" si="150"/>
        <v>0</v>
      </c>
      <c r="AC228" s="5"/>
    </row>
    <row r="229" spans="1:29" s="87" customFormat="1">
      <c r="A229" s="37" t="s">
        <v>356</v>
      </c>
      <c r="B229" s="38" t="s">
        <v>357</v>
      </c>
      <c r="C229" s="61" t="s">
        <v>353</v>
      </c>
      <c r="D229" s="62">
        <v>1</v>
      </c>
      <c r="E229" s="63">
        <v>965.34</v>
      </c>
      <c r="F229" s="39">
        <f t="shared" si="151"/>
        <v>1</v>
      </c>
      <c r="G229" s="63">
        <v>784.83</v>
      </c>
      <c r="H229" s="64">
        <f t="shared" si="141"/>
        <v>965.34</v>
      </c>
      <c r="I229" s="155" t="s">
        <v>446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142"/>
        <v>0</v>
      </c>
      <c r="U229" s="65">
        <f t="shared" si="143"/>
        <v>1</v>
      </c>
      <c r="V229" s="65">
        <f t="shared" si="144"/>
        <v>965.34</v>
      </c>
      <c r="W229" s="42">
        <f t="shared" si="145"/>
        <v>0</v>
      </c>
      <c r="X229" s="42">
        <f t="shared" si="146"/>
        <v>0</v>
      </c>
      <c r="Y229" s="43">
        <f t="shared" si="147"/>
        <v>0</v>
      </c>
      <c r="Z229" s="96">
        <f t="shared" si="148"/>
        <v>0</v>
      </c>
      <c r="AA229" s="96">
        <f t="shared" si="152"/>
        <v>0</v>
      </c>
      <c r="AB229" s="96">
        <f t="shared" si="150"/>
        <v>0</v>
      </c>
      <c r="AC229" s="5"/>
    </row>
    <row r="230" spans="1:29" s="87" customFormat="1">
      <c r="A230" s="37" t="s">
        <v>358</v>
      </c>
      <c r="B230" s="38" t="s">
        <v>359</v>
      </c>
      <c r="C230" s="61" t="s">
        <v>105</v>
      </c>
      <c r="D230" s="62">
        <v>2.9</v>
      </c>
      <c r="E230" s="63">
        <v>33.630000000000003</v>
      </c>
      <c r="F230" s="39">
        <f t="shared" si="151"/>
        <v>2.9</v>
      </c>
      <c r="G230" s="63">
        <v>27.34</v>
      </c>
      <c r="H230" s="64">
        <f t="shared" si="141"/>
        <v>97.53</v>
      </c>
      <c r="I230" s="155" t="s">
        <v>446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142"/>
        <v>0</v>
      </c>
      <c r="U230" s="65">
        <f t="shared" si="143"/>
        <v>2.9</v>
      </c>
      <c r="V230" s="65">
        <f t="shared" si="144"/>
        <v>97.527000000000001</v>
      </c>
      <c r="W230" s="42">
        <f t="shared" si="145"/>
        <v>0</v>
      </c>
      <c r="X230" s="42">
        <f t="shared" si="146"/>
        <v>0</v>
      </c>
      <c r="Y230" s="43">
        <f t="shared" si="147"/>
        <v>0</v>
      </c>
      <c r="Z230" s="96">
        <f t="shared" si="148"/>
        <v>0</v>
      </c>
      <c r="AA230" s="96">
        <f t="shared" si="152"/>
        <v>0</v>
      </c>
      <c r="AB230" s="96">
        <f t="shared" si="150"/>
        <v>0</v>
      </c>
      <c r="AC230" s="5"/>
    </row>
    <row r="231" spans="1:29">
      <c r="A231" s="37" t="s">
        <v>360</v>
      </c>
      <c r="B231" s="38" t="s">
        <v>361</v>
      </c>
      <c r="C231" s="37" t="s">
        <v>8</v>
      </c>
      <c r="D231" s="39">
        <v>861.56</v>
      </c>
      <c r="E231" s="40">
        <v>2.0499999999999998</v>
      </c>
      <c r="F231" s="39">
        <f t="shared" si="151"/>
        <v>861.56</v>
      </c>
      <c r="G231" s="40">
        <v>1.67</v>
      </c>
      <c r="H231" s="41">
        <f t="shared" si="141"/>
        <v>1766.2</v>
      </c>
      <c r="I231" s="154" t="s">
        <v>446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142"/>
        <v>0</v>
      </c>
      <c r="U231" s="65">
        <f t="shared" si="143"/>
        <v>861.56</v>
      </c>
      <c r="V231" s="65">
        <f t="shared" si="144"/>
        <v>1766.1979999999996</v>
      </c>
      <c r="W231" s="42">
        <f t="shared" si="145"/>
        <v>0</v>
      </c>
      <c r="X231" s="42">
        <f t="shared" si="146"/>
        <v>0</v>
      </c>
      <c r="Y231" s="43">
        <f>W231+X231</f>
        <v>0</v>
      </c>
      <c r="Z231" s="96">
        <f t="shared" si="148"/>
        <v>0</v>
      </c>
      <c r="AA231" s="96">
        <f t="shared" si="152"/>
        <v>0</v>
      </c>
      <c r="AB231" s="96">
        <f t="shared" si="150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142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483" t="s">
        <v>362</v>
      </c>
      <c r="B233" s="483"/>
      <c r="C233" s="483"/>
      <c r="D233" s="483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153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153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153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153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153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153"/>
        <v>0</v>
      </c>
      <c r="AB239" s="84"/>
    </row>
    <row r="240" spans="1:29">
      <c r="T240" s="65">
        <f t="shared" ref="T240:T303" si="154">SUM(J240:R240)</f>
        <v>0</v>
      </c>
      <c r="Z240" s="91"/>
      <c r="AA240" s="96">
        <f t="shared" si="153"/>
        <v>0</v>
      </c>
      <c r="AB240" s="84"/>
    </row>
    <row r="241" spans="16:28">
      <c r="T241" s="65">
        <f t="shared" si="154"/>
        <v>0</v>
      </c>
      <c r="Z241" s="91"/>
      <c r="AA241" s="96">
        <f t="shared" si="153"/>
        <v>0</v>
      </c>
      <c r="AB241" s="84"/>
    </row>
    <row r="242" spans="16:28">
      <c r="T242" s="65">
        <f t="shared" si="154"/>
        <v>0</v>
      </c>
      <c r="Z242" s="91"/>
      <c r="AA242" s="96">
        <f t="shared" si="153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154"/>
        <v>1114</v>
      </c>
      <c r="Z243" s="91"/>
      <c r="AA243" s="96">
        <f t="shared" si="153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154"/>
        <v>1965.42</v>
      </c>
      <c r="Z244" s="91"/>
      <c r="AA244" s="96">
        <f t="shared" si="153"/>
        <v>0</v>
      </c>
      <c r="AB244" s="84"/>
    </row>
    <row r="245" spans="16:28">
      <c r="Q245" s="94">
        <f>Q244-P244</f>
        <v>262.57999999999993</v>
      </c>
      <c r="T245" s="65">
        <f t="shared" si="154"/>
        <v>262.57999999999993</v>
      </c>
      <c r="Z245" s="91"/>
      <c r="AA245" s="96">
        <f t="shared" si="153"/>
        <v>0</v>
      </c>
      <c r="AB245" s="84"/>
    </row>
    <row r="246" spans="16:28">
      <c r="T246" s="65">
        <f t="shared" si="154"/>
        <v>0</v>
      </c>
      <c r="Z246" s="91"/>
      <c r="AA246" s="96">
        <f t="shared" si="153"/>
        <v>0</v>
      </c>
      <c r="AB246" s="84"/>
    </row>
    <row r="247" spans="16:28">
      <c r="T247" s="65">
        <f t="shared" si="154"/>
        <v>0</v>
      </c>
      <c r="Z247" s="91"/>
      <c r="AA247" s="96">
        <f t="shared" si="153"/>
        <v>0</v>
      </c>
      <c r="AB247" s="84"/>
    </row>
    <row r="248" spans="16:28">
      <c r="T248" s="65">
        <f t="shared" si="154"/>
        <v>0</v>
      </c>
      <c r="Z248" s="91"/>
      <c r="AA248" s="96">
        <f t="shared" si="153"/>
        <v>0</v>
      </c>
      <c r="AB248" s="84"/>
    </row>
    <row r="249" spans="16:28">
      <c r="T249" s="65">
        <f t="shared" si="154"/>
        <v>0</v>
      </c>
      <c r="Z249" s="91"/>
      <c r="AA249" s="96">
        <f t="shared" si="153"/>
        <v>0</v>
      </c>
      <c r="AB249" s="84"/>
    </row>
    <row r="250" spans="16:28">
      <c r="T250" s="65">
        <f t="shared" si="154"/>
        <v>0</v>
      </c>
      <c r="Z250" s="91"/>
      <c r="AA250" s="96">
        <f t="shared" si="153"/>
        <v>0</v>
      </c>
      <c r="AB250" s="84"/>
    </row>
    <row r="251" spans="16:28">
      <c r="T251" s="65">
        <f t="shared" si="154"/>
        <v>0</v>
      </c>
      <c r="Z251" s="91"/>
      <c r="AA251" s="96">
        <f t="shared" si="153"/>
        <v>0</v>
      </c>
      <c r="AB251" s="84"/>
    </row>
    <row r="252" spans="16:28">
      <c r="T252" s="65">
        <f t="shared" si="154"/>
        <v>0</v>
      </c>
      <c r="Z252" s="91"/>
      <c r="AA252" s="96">
        <f t="shared" si="153"/>
        <v>0</v>
      </c>
      <c r="AB252" s="84"/>
    </row>
    <row r="253" spans="16:28">
      <c r="T253" s="65">
        <f t="shared" si="154"/>
        <v>0</v>
      </c>
      <c r="Z253" s="91"/>
      <c r="AA253" s="96">
        <f t="shared" si="153"/>
        <v>0</v>
      </c>
      <c r="AB253" s="84"/>
    </row>
    <row r="254" spans="16:28">
      <c r="T254" s="65">
        <f t="shared" si="154"/>
        <v>0</v>
      </c>
      <c r="Z254" s="91"/>
      <c r="AA254" s="96">
        <f t="shared" si="153"/>
        <v>0</v>
      </c>
      <c r="AB254" s="84"/>
    </row>
    <row r="255" spans="16:28">
      <c r="T255" s="65">
        <f t="shared" si="154"/>
        <v>0</v>
      </c>
      <c r="Z255" s="91"/>
      <c r="AA255" s="96">
        <f t="shared" si="153"/>
        <v>0</v>
      </c>
      <c r="AB255" s="84"/>
    </row>
    <row r="256" spans="16:28">
      <c r="T256" s="65">
        <f t="shared" si="154"/>
        <v>0</v>
      </c>
      <c r="Z256" s="91"/>
      <c r="AA256" s="96">
        <f t="shared" si="153"/>
        <v>0</v>
      </c>
      <c r="AB256" s="84"/>
    </row>
    <row r="257" spans="20:28">
      <c r="T257" s="65">
        <f t="shared" si="154"/>
        <v>0</v>
      </c>
      <c r="Z257" s="91"/>
      <c r="AA257" s="96">
        <f t="shared" si="153"/>
        <v>0</v>
      </c>
      <c r="AB257" s="84"/>
    </row>
    <row r="258" spans="20:28">
      <c r="T258" s="65">
        <f t="shared" si="154"/>
        <v>0</v>
      </c>
      <c r="Z258" s="91"/>
      <c r="AA258" s="96">
        <f t="shared" si="153"/>
        <v>0</v>
      </c>
      <c r="AB258" s="84"/>
    </row>
    <row r="259" spans="20:28">
      <c r="T259" s="65">
        <f t="shared" si="154"/>
        <v>0</v>
      </c>
      <c r="Z259" s="91"/>
      <c r="AA259" s="96">
        <f t="shared" si="153"/>
        <v>0</v>
      </c>
      <c r="AB259" s="84"/>
    </row>
    <row r="260" spans="20:28">
      <c r="T260" s="65">
        <f t="shared" si="154"/>
        <v>0</v>
      </c>
      <c r="Z260" s="91"/>
      <c r="AA260" s="96">
        <f t="shared" si="153"/>
        <v>0</v>
      </c>
      <c r="AB260" s="84"/>
    </row>
    <row r="261" spans="20:28">
      <c r="T261" s="65">
        <f t="shared" si="154"/>
        <v>0</v>
      </c>
      <c r="Z261" s="91"/>
      <c r="AA261" s="96">
        <f t="shared" si="153"/>
        <v>0</v>
      </c>
      <c r="AB261" s="84"/>
    </row>
    <row r="262" spans="20:28">
      <c r="T262" s="65">
        <f t="shared" si="154"/>
        <v>0</v>
      </c>
      <c r="Z262" s="91"/>
      <c r="AA262" s="96">
        <f t="shared" si="153"/>
        <v>0</v>
      </c>
      <c r="AB262" s="84"/>
    </row>
    <row r="263" spans="20:28">
      <c r="T263" s="65">
        <f t="shared" si="154"/>
        <v>0</v>
      </c>
      <c r="Z263" s="91"/>
      <c r="AA263" s="96">
        <f t="shared" si="153"/>
        <v>0</v>
      </c>
      <c r="AB263" s="84"/>
    </row>
    <row r="264" spans="20:28">
      <c r="T264" s="65">
        <f t="shared" si="154"/>
        <v>0</v>
      </c>
      <c r="Z264" s="91"/>
      <c r="AA264" s="96">
        <f t="shared" si="153"/>
        <v>0</v>
      </c>
      <c r="AB264" s="84"/>
    </row>
    <row r="265" spans="20:28">
      <c r="T265" s="65">
        <f t="shared" si="154"/>
        <v>0</v>
      </c>
      <c r="Z265" s="91"/>
      <c r="AA265" s="96">
        <f t="shared" si="153"/>
        <v>0</v>
      </c>
      <c r="AB265" s="84"/>
    </row>
    <row r="266" spans="20:28">
      <c r="T266" s="65">
        <f t="shared" si="154"/>
        <v>0</v>
      </c>
      <c r="Z266" s="91"/>
      <c r="AA266" s="96">
        <f t="shared" ref="AA266:AA297" si="155">Q266*E266</f>
        <v>0</v>
      </c>
      <c r="AB266" s="84"/>
    </row>
    <row r="267" spans="20:28">
      <c r="T267" s="65">
        <f t="shared" si="154"/>
        <v>0</v>
      </c>
      <c r="Z267" s="91"/>
      <c r="AA267" s="96">
        <f t="shared" si="155"/>
        <v>0</v>
      </c>
      <c r="AB267" s="84"/>
    </row>
    <row r="268" spans="20:28">
      <c r="T268" s="65">
        <f t="shared" si="154"/>
        <v>0</v>
      </c>
      <c r="Z268" s="91"/>
      <c r="AA268" s="96">
        <f t="shared" si="155"/>
        <v>0</v>
      </c>
      <c r="AB268" s="84"/>
    </row>
    <row r="269" spans="20:28">
      <c r="T269" s="65">
        <f t="shared" si="154"/>
        <v>0</v>
      </c>
      <c r="Z269" s="91"/>
      <c r="AA269" s="96">
        <f t="shared" si="155"/>
        <v>0</v>
      </c>
      <c r="AB269" s="84"/>
    </row>
    <row r="270" spans="20:28">
      <c r="T270" s="65">
        <f t="shared" si="154"/>
        <v>0</v>
      </c>
      <c r="Z270" s="91"/>
      <c r="AA270" s="96">
        <f t="shared" si="155"/>
        <v>0</v>
      </c>
      <c r="AB270" s="84"/>
    </row>
    <row r="271" spans="20:28">
      <c r="T271" s="65">
        <f t="shared" si="154"/>
        <v>0</v>
      </c>
      <c r="Z271" s="91"/>
      <c r="AA271" s="96">
        <f t="shared" si="155"/>
        <v>0</v>
      </c>
      <c r="AB271" s="84"/>
    </row>
    <row r="272" spans="20:28">
      <c r="T272" s="65">
        <f t="shared" si="154"/>
        <v>0</v>
      </c>
      <c r="Z272" s="91"/>
      <c r="AA272" s="96">
        <f t="shared" si="155"/>
        <v>0</v>
      </c>
      <c r="AB272" s="84"/>
    </row>
    <row r="273" spans="20:28">
      <c r="T273" s="65">
        <f t="shared" si="154"/>
        <v>0</v>
      </c>
      <c r="Z273" s="91"/>
      <c r="AA273" s="96">
        <f t="shared" si="155"/>
        <v>0</v>
      </c>
      <c r="AB273" s="84"/>
    </row>
    <row r="274" spans="20:28">
      <c r="T274" s="65">
        <f t="shared" si="154"/>
        <v>0</v>
      </c>
      <c r="Z274" s="91"/>
      <c r="AA274" s="96">
        <f t="shared" si="155"/>
        <v>0</v>
      </c>
      <c r="AB274" s="84"/>
    </row>
    <row r="275" spans="20:28">
      <c r="T275" s="65">
        <f t="shared" si="154"/>
        <v>0</v>
      </c>
      <c r="Z275" s="91"/>
      <c r="AA275" s="96">
        <f t="shared" si="155"/>
        <v>0</v>
      </c>
      <c r="AB275" s="84"/>
    </row>
    <row r="276" spans="20:28">
      <c r="T276" s="65">
        <f t="shared" si="154"/>
        <v>0</v>
      </c>
      <c r="Z276" s="91"/>
      <c r="AA276" s="96">
        <f t="shared" si="155"/>
        <v>0</v>
      </c>
      <c r="AB276" s="84"/>
    </row>
    <row r="277" spans="20:28">
      <c r="T277" s="65">
        <f t="shared" si="154"/>
        <v>0</v>
      </c>
      <c r="Z277" s="91"/>
      <c r="AA277" s="96">
        <f t="shared" si="155"/>
        <v>0</v>
      </c>
      <c r="AB277" s="84"/>
    </row>
    <row r="278" spans="20:28">
      <c r="T278" s="65">
        <f t="shared" si="154"/>
        <v>0</v>
      </c>
      <c r="Z278" s="91"/>
      <c r="AA278" s="96">
        <f t="shared" si="155"/>
        <v>0</v>
      </c>
      <c r="AB278" s="84"/>
    </row>
    <row r="279" spans="20:28">
      <c r="T279" s="65">
        <f t="shared" si="154"/>
        <v>0</v>
      </c>
      <c r="Z279" s="91"/>
      <c r="AA279" s="96">
        <f t="shared" si="155"/>
        <v>0</v>
      </c>
      <c r="AB279" s="84"/>
    </row>
    <row r="280" spans="20:28">
      <c r="T280" s="65">
        <f t="shared" si="154"/>
        <v>0</v>
      </c>
      <c r="Z280" s="91"/>
      <c r="AA280" s="96">
        <f t="shared" si="155"/>
        <v>0</v>
      </c>
      <c r="AB280" s="84"/>
    </row>
    <row r="281" spans="20:28">
      <c r="T281" s="65">
        <f t="shared" si="154"/>
        <v>0</v>
      </c>
      <c r="Z281" s="91"/>
      <c r="AA281" s="96">
        <f t="shared" si="155"/>
        <v>0</v>
      </c>
      <c r="AB281" s="84"/>
    </row>
    <row r="282" spans="20:28">
      <c r="T282" s="65">
        <f t="shared" si="154"/>
        <v>0</v>
      </c>
      <c r="Z282" s="91"/>
      <c r="AA282" s="96">
        <f t="shared" si="155"/>
        <v>0</v>
      </c>
      <c r="AB282" s="84"/>
    </row>
    <row r="283" spans="20:28">
      <c r="T283" s="65">
        <f t="shared" si="154"/>
        <v>0</v>
      </c>
      <c r="Z283" s="91"/>
      <c r="AA283" s="96">
        <f t="shared" si="155"/>
        <v>0</v>
      </c>
      <c r="AB283" s="84"/>
    </row>
    <row r="284" spans="20:28">
      <c r="T284" s="65">
        <f t="shared" si="154"/>
        <v>0</v>
      </c>
      <c r="Z284" s="91"/>
      <c r="AA284" s="96">
        <f t="shared" si="155"/>
        <v>0</v>
      </c>
      <c r="AB284" s="84"/>
    </row>
    <row r="285" spans="20:28">
      <c r="T285" s="65">
        <f t="shared" si="154"/>
        <v>0</v>
      </c>
      <c r="Z285" s="91"/>
      <c r="AA285" s="96">
        <f t="shared" si="155"/>
        <v>0</v>
      </c>
      <c r="AB285" s="84"/>
    </row>
    <row r="286" spans="20:28">
      <c r="T286" s="65">
        <f t="shared" si="154"/>
        <v>0</v>
      </c>
      <c r="Z286" s="91"/>
      <c r="AA286" s="96">
        <f t="shared" si="155"/>
        <v>0</v>
      </c>
      <c r="AB286" s="84"/>
    </row>
    <row r="287" spans="20:28">
      <c r="T287" s="65">
        <f t="shared" si="154"/>
        <v>0</v>
      </c>
      <c r="Z287" s="91"/>
      <c r="AA287" s="96">
        <f t="shared" si="155"/>
        <v>0</v>
      </c>
      <c r="AB287" s="84"/>
    </row>
    <row r="288" spans="20:28">
      <c r="T288" s="65">
        <f t="shared" si="154"/>
        <v>0</v>
      </c>
      <c r="Z288" s="91"/>
      <c r="AA288" s="96">
        <f t="shared" si="155"/>
        <v>0</v>
      </c>
      <c r="AB288" s="84"/>
    </row>
    <row r="289" spans="20:28">
      <c r="T289" s="65">
        <f t="shared" si="154"/>
        <v>0</v>
      </c>
      <c r="Z289" s="91"/>
      <c r="AA289" s="96">
        <f t="shared" si="155"/>
        <v>0</v>
      </c>
      <c r="AB289" s="84"/>
    </row>
    <row r="290" spans="20:28">
      <c r="T290" s="65">
        <f t="shared" si="154"/>
        <v>0</v>
      </c>
      <c r="Z290" s="91"/>
      <c r="AA290" s="96">
        <f t="shared" si="155"/>
        <v>0</v>
      </c>
      <c r="AB290" s="84"/>
    </row>
    <row r="291" spans="20:28">
      <c r="T291" s="65">
        <f t="shared" si="154"/>
        <v>0</v>
      </c>
      <c r="Z291" s="91"/>
      <c r="AA291" s="96">
        <f t="shared" si="155"/>
        <v>0</v>
      </c>
      <c r="AB291" s="84"/>
    </row>
    <row r="292" spans="20:28">
      <c r="T292" s="65">
        <f t="shared" si="154"/>
        <v>0</v>
      </c>
      <c r="Z292" s="91"/>
      <c r="AA292" s="96">
        <f t="shared" si="155"/>
        <v>0</v>
      </c>
      <c r="AB292" s="84"/>
    </row>
    <row r="293" spans="20:28">
      <c r="T293" s="65">
        <f t="shared" si="154"/>
        <v>0</v>
      </c>
      <c r="Z293" s="91"/>
      <c r="AA293" s="96">
        <f t="shared" si="155"/>
        <v>0</v>
      </c>
      <c r="AB293" s="84"/>
    </row>
    <row r="294" spans="20:28">
      <c r="T294" s="65">
        <f t="shared" si="154"/>
        <v>0</v>
      </c>
      <c r="Z294" s="91"/>
      <c r="AA294" s="96">
        <f t="shared" si="155"/>
        <v>0</v>
      </c>
      <c r="AB294" s="84"/>
    </row>
    <row r="295" spans="20:28">
      <c r="T295" s="65">
        <f t="shared" si="154"/>
        <v>0</v>
      </c>
      <c r="Z295" s="91"/>
      <c r="AA295" s="96">
        <f t="shared" si="155"/>
        <v>0</v>
      </c>
      <c r="AB295" s="84"/>
    </row>
    <row r="296" spans="20:28">
      <c r="T296" s="65">
        <f t="shared" si="154"/>
        <v>0</v>
      </c>
      <c r="Z296" s="91"/>
      <c r="AA296" s="96">
        <f t="shared" si="155"/>
        <v>0</v>
      </c>
      <c r="AB296" s="84"/>
    </row>
    <row r="297" spans="20:28">
      <c r="T297" s="65">
        <f t="shared" si="154"/>
        <v>0</v>
      </c>
      <c r="Z297" s="91"/>
      <c r="AA297" s="96">
        <f t="shared" si="155"/>
        <v>0</v>
      </c>
      <c r="AB297" s="84"/>
    </row>
    <row r="298" spans="20:28">
      <c r="T298" s="65">
        <f t="shared" si="154"/>
        <v>0</v>
      </c>
      <c r="Z298" s="91"/>
      <c r="AA298" s="96">
        <f t="shared" ref="AA298:AA329" si="156">Q298*E298</f>
        <v>0</v>
      </c>
      <c r="AB298" s="84"/>
    </row>
    <row r="299" spans="20:28">
      <c r="T299" s="65">
        <f t="shared" si="154"/>
        <v>0</v>
      </c>
      <c r="Z299" s="91"/>
      <c r="AA299" s="96">
        <f t="shared" si="156"/>
        <v>0</v>
      </c>
      <c r="AB299" s="84"/>
    </row>
    <row r="300" spans="20:28">
      <c r="T300" s="65">
        <f t="shared" si="154"/>
        <v>0</v>
      </c>
      <c r="Z300" s="91"/>
      <c r="AA300" s="96">
        <f t="shared" si="156"/>
        <v>0</v>
      </c>
      <c r="AB300" s="84"/>
    </row>
    <row r="301" spans="20:28">
      <c r="T301" s="65">
        <f t="shared" si="154"/>
        <v>0</v>
      </c>
      <c r="Z301" s="91"/>
      <c r="AA301" s="96">
        <f t="shared" si="156"/>
        <v>0</v>
      </c>
      <c r="AB301" s="84"/>
    </row>
    <row r="302" spans="20:28">
      <c r="T302" s="65">
        <f t="shared" si="154"/>
        <v>0</v>
      </c>
      <c r="Z302" s="91"/>
      <c r="AA302" s="96">
        <f t="shared" si="156"/>
        <v>0</v>
      </c>
      <c r="AB302" s="84"/>
    </row>
    <row r="303" spans="20:28">
      <c r="T303" s="65">
        <f t="shared" si="154"/>
        <v>0</v>
      </c>
      <c r="Z303" s="91"/>
      <c r="AA303" s="96">
        <f t="shared" si="156"/>
        <v>0</v>
      </c>
      <c r="AB303" s="84"/>
    </row>
    <row r="304" spans="20:28">
      <c r="T304" s="65">
        <f t="shared" ref="T304:T305" si="157">SUM(J304:R304)</f>
        <v>0</v>
      </c>
      <c r="Z304" s="91"/>
      <c r="AA304" s="96">
        <f t="shared" si="156"/>
        <v>0</v>
      </c>
      <c r="AB304" s="84"/>
    </row>
    <row r="305" spans="20:28">
      <c r="T305" s="65">
        <f t="shared" si="157"/>
        <v>0</v>
      </c>
      <c r="Z305" s="91"/>
      <c r="AA305" s="96">
        <f t="shared" si="156"/>
        <v>0</v>
      </c>
      <c r="AB305" s="84"/>
    </row>
    <row r="306" spans="20:28">
      <c r="Z306" s="91"/>
      <c r="AA306" s="96">
        <f t="shared" si="156"/>
        <v>0</v>
      </c>
      <c r="AB306" s="84"/>
    </row>
    <row r="307" spans="20:28">
      <c r="Z307" s="91"/>
      <c r="AA307" s="96">
        <f t="shared" si="156"/>
        <v>0</v>
      </c>
      <c r="AB307" s="84"/>
    </row>
    <row r="308" spans="20:28">
      <c r="Z308" s="91"/>
      <c r="AA308" s="96">
        <f t="shared" si="156"/>
        <v>0</v>
      </c>
      <c r="AB308" s="84"/>
    </row>
    <row r="309" spans="20:28">
      <c r="Z309" s="91"/>
      <c r="AA309" s="96">
        <f t="shared" si="156"/>
        <v>0</v>
      </c>
      <c r="AB309" s="84"/>
    </row>
    <row r="310" spans="20:28">
      <c r="Z310" s="91"/>
      <c r="AA310" s="96">
        <f t="shared" si="156"/>
        <v>0</v>
      </c>
      <c r="AB310" s="84"/>
    </row>
    <row r="311" spans="20:28">
      <c r="Z311" s="91"/>
      <c r="AA311" s="96">
        <f t="shared" si="156"/>
        <v>0</v>
      </c>
      <c r="AB311" s="84"/>
    </row>
    <row r="312" spans="20:28">
      <c r="Z312" s="91"/>
      <c r="AA312" s="96">
        <f t="shared" si="156"/>
        <v>0</v>
      </c>
      <c r="AB312" s="84"/>
    </row>
    <row r="313" spans="20:28">
      <c r="Z313" s="91"/>
      <c r="AA313" s="96">
        <f t="shared" si="156"/>
        <v>0</v>
      </c>
      <c r="AB313" s="84"/>
    </row>
    <row r="314" spans="20:28">
      <c r="Z314" s="91"/>
      <c r="AA314" s="96">
        <f t="shared" si="156"/>
        <v>0</v>
      </c>
      <c r="AB314" s="84"/>
    </row>
    <row r="315" spans="20:28">
      <c r="Z315" s="91"/>
      <c r="AA315" s="96">
        <f t="shared" si="156"/>
        <v>0</v>
      </c>
      <c r="AB315" s="84"/>
    </row>
    <row r="316" spans="20:28">
      <c r="Z316" s="91"/>
      <c r="AA316" s="96">
        <f t="shared" si="156"/>
        <v>0</v>
      </c>
      <c r="AB316" s="84"/>
    </row>
    <row r="317" spans="20:28">
      <c r="Z317" s="91"/>
      <c r="AA317" s="96">
        <f t="shared" si="156"/>
        <v>0</v>
      </c>
      <c r="AB317" s="84"/>
    </row>
    <row r="318" spans="20:28">
      <c r="Z318" s="91"/>
      <c r="AA318" s="96">
        <f t="shared" si="156"/>
        <v>0</v>
      </c>
      <c r="AB318" s="84"/>
    </row>
    <row r="319" spans="20:28">
      <c r="Z319" s="91"/>
      <c r="AA319" s="96">
        <f t="shared" si="156"/>
        <v>0</v>
      </c>
      <c r="AB319" s="84"/>
    </row>
    <row r="320" spans="20:28">
      <c r="Z320" s="91"/>
      <c r="AA320" s="96">
        <f t="shared" si="156"/>
        <v>0</v>
      </c>
      <c r="AB320" s="84"/>
    </row>
    <row r="321" spans="26:28">
      <c r="Z321" s="91"/>
      <c r="AA321" s="96">
        <f t="shared" si="156"/>
        <v>0</v>
      </c>
      <c r="AB321" s="84"/>
    </row>
    <row r="322" spans="26:28">
      <c r="Z322" s="91"/>
      <c r="AA322" s="96">
        <f t="shared" si="156"/>
        <v>0</v>
      </c>
      <c r="AB322" s="84"/>
    </row>
    <row r="323" spans="26:28">
      <c r="Z323" s="91"/>
      <c r="AA323" s="96">
        <f t="shared" si="156"/>
        <v>0</v>
      </c>
      <c r="AB323" s="84"/>
    </row>
    <row r="324" spans="26:28">
      <c r="Z324" s="91"/>
      <c r="AA324" s="96">
        <f t="shared" si="156"/>
        <v>0</v>
      </c>
      <c r="AB324" s="84"/>
    </row>
    <row r="325" spans="26:28">
      <c r="Z325" s="91"/>
      <c r="AA325" s="96">
        <f t="shared" si="156"/>
        <v>0</v>
      </c>
      <c r="AB325" s="84"/>
    </row>
    <row r="326" spans="26:28">
      <c r="Z326" s="91"/>
      <c r="AA326" s="96">
        <f t="shared" si="156"/>
        <v>0</v>
      </c>
      <c r="AB326" s="84"/>
    </row>
    <row r="327" spans="26:28">
      <c r="Z327" s="91"/>
      <c r="AA327" s="96">
        <f t="shared" si="156"/>
        <v>0</v>
      </c>
      <c r="AB327" s="84"/>
    </row>
    <row r="328" spans="26:28">
      <c r="Z328" s="91"/>
      <c r="AA328" s="96">
        <f t="shared" si="156"/>
        <v>0</v>
      </c>
      <c r="AB328" s="84"/>
    </row>
    <row r="329" spans="26:28">
      <c r="Z329" s="91"/>
      <c r="AA329" s="96">
        <f t="shared" si="156"/>
        <v>0</v>
      </c>
      <c r="AB329" s="84"/>
    </row>
    <row r="330" spans="26:28">
      <c r="Z330" s="91"/>
      <c r="AA330" s="96">
        <f t="shared" ref="AA330:AA361" si="158">Q330*E330</f>
        <v>0</v>
      </c>
      <c r="AB330" s="84"/>
    </row>
    <row r="331" spans="26:28">
      <c r="Z331" s="91"/>
      <c r="AA331" s="96">
        <f t="shared" si="158"/>
        <v>0</v>
      </c>
      <c r="AB331" s="84"/>
    </row>
    <row r="332" spans="26:28">
      <c r="Z332" s="91"/>
      <c r="AA332" s="96">
        <f t="shared" si="158"/>
        <v>0</v>
      </c>
      <c r="AB332" s="84"/>
    </row>
    <row r="333" spans="26:28">
      <c r="Z333" s="91"/>
      <c r="AA333" s="96">
        <f t="shared" si="158"/>
        <v>0</v>
      </c>
      <c r="AB333" s="84"/>
    </row>
    <row r="334" spans="26:28">
      <c r="Z334" s="91"/>
      <c r="AA334" s="96">
        <f t="shared" si="158"/>
        <v>0</v>
      </c>
      <c r="AB334" s="84"/>
    </row>
    <row r="335" spans="26:28">
      <c r="Z335" s="91"/>
      <c r="AA335" s="96">
        <f t="shared" si="158"/>
        <v>0</v>
      </c>
      <c r="AB335" s="84"/>
    </row>
    <row r="336" spans="26:28">
      <c r="Z336" s="91"/>
      <c r="AA336" s="96">
        <f t="shared" si="158"/>
        <v>0</v>
      </c>
      <c r="AB336" s="84"/>
    </row>
    <row r="337" spans="26:28">
      <c r="Z337" s="91"/>
      <c r="AA337" s="96">
        <f t="shared" si="158"/>
        <v>0</v>
      </c>
      <c r="AB337" s="84"/>
    </row>
    <row r="338" spans="26:28">
      <c r="Z338" s="91"/>
      <c r="AA338" s="96">
        <f t="shared" si="158"/>
        <v>0</v>
      </c>
      <c r="AB338" s="84"/>
    </row>
    <row r="339" spans="26:28">
      <c r="Z339" s="91"/>
      <c r="AA339" s="96">
        <f t="shared" si="158"/>
        <v>0</v>
      </c>
      <c r="AB339" s="84"/>
    </row>
    <row r="340" spans="26:28">
      <c r="Z340" s="91"/>
      <c r="AA340" s="96">
        <f t="shared" si="158"/>
        <v>0</v>
      </c>
      <c r="AB340" s="84"/>
    </row>
    <row r="341" spans="26:28">
      <c r="Z341" s="91"/>
      <c r="AA341" s="96">
        <f t="shared" si="158"/>
        <v>0</v>
      </c>
      <c r="AB341" s="84"/>
    </row>
    <row r="342" spans="26:28">
      <c r="Z342" s="91"/>
      <c r="AA342" s="96">
        <f t="shared" si="158"/>
        <v>0</v>
      </c>
      <c r="AB342" s="84"/>
    </row>
    <row r="343" spans="26:28">
      <c r="Z343" s="91"/>
      <c r="AA343" s="96">
        <f t="shared" si="158"/>
        <v>0</v>
      </c>
      <c r="AB343" s="84"/>
    </row>
    <row r="344" spans="26:28">
      <c r="Z344" s="91"/>
      <c r="AA344" s="96">
        <f t="shared" si="158"/>
        <v>0</v>
      </c>
      <c r="AB344" s="84"/>
    </row>
    <row r="345" spans="26:28">
      <c r="Z345" s="91"/>
      <c r="AA345" s="96">
        <f t="shared" si="158"/>
        <v>0</v>
      </c>
      <c r="AB345" s="84"/>
    </row>
    <row r="346" spans="26:28">
      <c r="Z346" s="91"/>
      <c r="AA346" s="96">
        <f t="shared" si="158"/>
        <v>0</v>
      </c>
      <c r="AB346" s="84"/>
    </row>
    <row r="347" spans="26:28">
      <c r="Z347" s="91"/>
      <c r="AA347" s="96">
        <f t="shared" si="158"/>
        <v>0</v>
      </c>
      <c r="AB347" s="84"/>
    </row>
    <row r="348" spans="26:28">
      <c r="Z348" s="91"/>
      <c r="AA348" s="96">
        <f t="shared" si="158"/>
        <v>0</v>
      </c>
      <c r="AB348" s="84"/>
    </row>
    <row r="349" spans="26:28">
      <c r="Z349" s="91"/>
      <c r="AA349" s="96">
        <f t="shared" si="158"/>
        <v>0</v>
      </c>
      <c r="AB349" s="84"/>
    </row>
    <row r="350" spans="26:28">
      <c r="Z350" s="91"/>
      <c r="AA350" s="96">
        <f t="shared" si="158"/>
        <v>0</v>
      </c>
      <c r="AB350" s="84"/>
    </row>
    <row r="351" spans="26:28">
      <c r="Z351" s="91"/>
      <c r="AA351" s="96">
        <f t="shared" si="158"/>
        <v>0</v>
      </c>
      <c r="AB351" s="84"/>
    </row>
    <row r="352" spans="26:28">
      <c r="Z352" s="91"/>
      <c r="AA352" s="96">
        <f t="shared" si="158"/>
        <v>0</v>
      </c>
      <c r="AB352" s="84"/>
    </row>
    <row r="353" spans="26:28">
      <c r="Z353" s="91"/>
      <c r="AA353" s="96">
        <f t="shared" si="158"/>
        <v>0</v>
      </c>
      <c r="AB353" s="84"/>
    </row>
    <row r="354" spans="26:28">
      <c r="Z354" s="91"/>
      <c r="AA354" s="96">
        <f t="shared" si="158"/>
        <v>0</v>
      </c>
      <c r="AB354" s="84"/>
    </row>
    <row r="355" spans="26:28">
      <c r="Z355" s="91"/>
      <c r="AA355" s="96">
        <f t="shared" si="158"/>
        <v>0</v>
      </c>
      <c r="AB355" s="84"/>
    </row>
    <row r="356" spans="26:28">
      <c r="Z356" s="91"/>
      <c r="AA356" s="96">
        <f t="shared" si="158"/>
        <v>0</v>
      </c>
      <c r="AB356" s="84"/>
    </row>
    <row r="357" spans="26:28">
      <c r="Z357" s="91"/>
      <c r="AA357" s="96">
        <f t="shared" si="158"/>
        <v>0</v>
      </c>
      <c r="AB357" s="84"/>
    </row>
    <row r="358" spans="26:28">
      <c r="Z358" s="91"/>
      <c r="AA358" s="96">
        <f t="shared" si="158"/>
        <v>0</v>
      </c>
      <c r="AB358" s="84"/>
    </row>
    <row r="359" spans="26:28">
      <c r="Z359" s="91"/>
      <c r="AA359" s="96">
        <f t="shared" si="158"/>
        <v>0</v>
      </c>
      <c r="AB359" s="84"/>
    </row>
    <row r="360" spans="26:28">
      <c r="Z360" s="91"/>
      <c r="AA360" s="96">
        <f t="shared" si="158"/>
        <v>0</v>
      </c>
      <c r="AB360" s="84"/>
    </row>
    <row r="361" spans="26:28">
      <c r="Z361" s="91"/>
      <c r="AA361" s="96">
        <f t="shared" si="158"/>
        <v>0</v>
      </c>
      <c r="AB361" s="84"/>
    </row>
    <row r="362" spans="26:28">
      <c r="AA362" s="96">
        <f t="shared" ref="AA362:AA379" si="159">Q362*E362</f>
        <v>0</v>
      </c>
      <c r="AB362" s="93"/>
    </row>
    <row r="363" spans="26:28">
      <c r="AA363" s="96">
        <f t="shared" si="159"/>
        <v>0</v>
      </c>
      <c r="AB363" s="93"/>
    </row>
    <row r="364" spans="26:28">
      <c r="AA364" s="96">
        <f t="shared" si="159"/>
        <v>0</v>
      </c>
      <c r="AB364" s="93"/>
    </row>
    <row r="365" spans="26:28">
      <c r="AA365" s="96">
        <f t="shared" si="159"/>
        <v>0</v>
      </c>
      <c r="AB365" s="93"/>
    </row>
    <row r="366" spans="26:28">
      <c r="AA366" s="96">
        <f t="shared" si="159"/>
        <v>0</v>
      </c>
      <c r="AB366" s="93"/>
    </row>
    <row r="367" spans="26:28">
      <c r="AA367" s="96">
        <f t="shared" si="159"/>
        <v>0</v>
      </c>
      <c r="AB367" s="93"/>
    </row>
    <row r="368" spans="26:28">
      <c r="AA368" s="96">
        <f t="shared" si="159"/>
        <v>0</v>
      </c>
      <c r="AB368" s="93"/>
    </row>
    <row r="369" spans="27:28">
      <c r="AA369" s="96">
        <f t="shared" si="159"/>
        <v>0</v>
      </c>
      <c r="AB369" s="93"/>
    </row>
    <row r="370" spans="27:28">
      <c r="AA370" s="96">
        <f t="shared" si="159"/>
        <v>0</v>
      </c>
      <c r="AB370" s="93"/>
    </row>
    <row r="371" spans="27:28">
      <c r="AA371" s="96">
        <f t="shared" si="159"/>
        <v>0</v>
      </c>
      <c r="AB371" s="93"/>
    </row>
    <row r="372" spans="27:28">
      <c r="AA372" s="96">
        <f t="shared" si="159"/>
        <v>0</v>
      </c>
      <c r="AB372" s="93"/>
    </row>
    <row r="373" spans="27:28">
      <c r="AA373" s="96">
        <f t="shared" si="159"/>
        <v>0</v>
      </c>
      <c r="AB373" s="93"/>
    </row>
    <row r="374" spans="27:28">
      <c r="AA374" s="96">
        <f t="shared" si="159"/>
        <v>0</v>
      </c>
      <c r="AB374" s="93"/>
    </row>
    <row r="375" spans="27:28">
      <c r="AA375" s="96">
        <f t="shared" si="159"/>
        <v>0</v>
      </c>
      <c r="AB375" s="93"/>
    </row>
    <row r="376" spans="27:28">
      <c r="AA376" s="96">
        <f t="shared" si="159"/>
        <v>0</v>
      </c>
      <c r="AB376" s="93"/>
    </row>
    <row r="377" spans="27:28">
      <c r="AA377" s="96">
        <f t="shared" si="159"/>
        <v>0</v>
      </c>
      <c r="AB377" s="93"/>
    </row>
    <row r="378" spans="27:28">
      <c r="AA378" s="96">
        <f t="shared" si="159"/>
        <v>0</v>
      </c>
      <c r="AB378" s="93"/>
    </row>
    <row r="379" spans="27:28">
      <c r="AA379" s="96">
        <f t="shared" si="159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mergeCells count="31">
    <mergeCell ref="A233:D233"/>
    <mergeCell ref="A5:E5"/>
    <mergeCell ref="A4:E4"/>
    <mergeCell ref="A3:E3"/>
    <mergeCell ref="A2:E2"/>
    <mergeCell ref="A9:I11"/>
    <mergeCell ref="A12:I12"/>
    <mergeCell ref="A13:I13"/>
    <mergeCell ref="A14:I14"/>
    <mergeCell ref="A22:I22"/>
    <mergeCell ref="A8:Z8"/>
    <mergeCell ref="C24:H24"/>
    <mergeCell ref="B24:B25"/>
    <mergeCell ref="A24:A25"/>
    <mergeCell ref="Z24:AB24"/>
    <mergeCell ref="W24:Y24"/>
    <mergeCell ref="X2:Z2"/>
    <mergeCell ref="X3:Z3"/>
    <mergeCell ref="AA2:AB2"/>
    <mergeCell ref="AA3:AB3"/>
    <mergeCell ref="AA4:AB4"/>
    <mergeCell ref="X4:Z4"/>
    <mergeCell ref="A6:E6"/>
    <mergeCell ref="A7:E7"/>
    <mergeCell ref="AA8:AB8"/>
    <mergeCell ref="X5:Z5"/>
    <mergeCell ref="H7:Z7"/>
    <mergeCell ref="AA5:AB5"/>
    <mergeCell ref="AA6:AB6"/>
    <mergeCell ref="AA7:AB7"/>
    <mergeCell ref="H6:Z6"/>
  </mergeCells>
  <hyperlinks>
    <hyperlink ref="I56" r:id="rId1" display="http://187.17.2.135/orse/composicao.asp?font_sg_fonte=SINAPI&amp;serv_nr_codigo=95956&amp;peri_nr_ano=2018&amp;peri_nr_mes=9&amp;peri_nr_ordem=1"/>
    <hyperlink ref="I63" r:id="rId2" display="http://187.17.2.135/orse/composicao.asp?font_sg_fonte=SINAPI&amp;serv_nr_codigo=742021&amp;peri_nr_ano=2018&amp;peri_nr_mes=9&amp;peri_nr_ordem=1"/>
    <hyperlink ref="I68" r:id="rId3" display="http://187.17.2.135/orse/composicao.asp?font_sg_fonte=ORSE&amp;serv_nr_codigo=154&amp;peri_nr_ano=2018&amp;peri_nr_mes=9&amp;peri_nr_ordem=1"/>
    <hyperlink ref="I70" r:id="rId4" display="http://187.17.2.135/orse/composicao.asp?font_sg_fonte=SINAPI&amp;serv_nr_codigo=739373&amp;peri_nr_ano=2018&amp;peri_nr_mes=9&amp;peri_nr_ordem=1"/>
    <hyperlink ref="I69" r:id="rId5" display="http://187.17.2.135/orse/composicao.asp?font_sg_fonte=SINAPI&amp;serv_nr_codigo=739371&amp;peri_nr_ano=2018&amp;peri_nr_mes=9&amp;peri_nr_ordem=1"/>
    <hyperlink ref="I77" r:id="rId6" display="http://187.17.2.135/orse/composicao.asp?font_sg_fonte=SINAPI&amp;serv_nr_codigo=90844&amp;peri_nr_ano=2018&amp;peri_nr_mes=9&amp;peri_nr_ordem=1"/>
    <hyperlink ref="I79" r:id="rId7" display="http://187.17.2.135/orse/composicao.asp?font_sg_fonte=SINAPI&amp;serv_nr_codigo=91328&amp;peri_nr_ano=2018&amp;peri_nr_mes=9&amp;peri_nr_ordem=1"/>
    <hyperlink ref="I78" r:id="rId8" display="http://187.17.2.135/orse/composicao.asp?font_sg_fonte=SINAPI&amp;serv_nr_codigo=91332&amp;peri_nr_ano=2018&amp;peri_nr_mes=9&amp;peri_nr_ordem=1"/>
    <hyperlink ref="I80" r:id="rId9" display="http://187.17.2.135/orse/composicao.asp?font_sg_fonte=SINAPI&amp;serv_nr_codigo=91333&amp;peri_nr_ano=2018&amp;peri_nr_mes=9&amp;peri_nr_ordem=1"/>
    <hyperlink ref="I83" r:id="rId10" display="http://187.17.2.135/orse/composicao.asp?font_sg_fonte=SINAPI&amp;serv_nr_codigo=87893&amp;peri_nr_ano=2018&amp;peri_nr_mes=9&amp;peri_nr_ordem=1"/>
    <hyperlink ref="I84" r:id="rId11" display="http://187.17.2.135/orse/composicao.asp?font_sg_fonte=SINAPI&amp;serv_nr_codigo=89173&amp;peri_nr_ano=2018&amp;peri_nr_mes=9&amp;peri_nr_ordem=1"/>
    <hyperlink ref="I85" r:id="rId12" display="http://187.17.2.135/orse/composicao.asp?font_sg_fonte=ORSE&amp;serv_nr_codigo=3315&amp;peri_nr_ano=2018&amp;peri_nr_mes=9&amp;peri_nr_ordem=1"/>
    <hyperlink ref="I87" r:id="rId13" display="http://187.17.2.135/orse/composicao.asp?font_sg_fonte=ORSE&amp;serv_nr_codigo=11366&amp;peri_nr_ano=2018&amp;peri_nr_mes=9&amp;peri_nr_ordem=1"/>
    <hyperlink ref="I86" r:id="rId14" display="http://187.17.2.135/orse/composicao.asp?font_sg_fonte=SINAPI&amp;serv_nr_codigo=89045&amp;peri_nr_ano=2018&amp;peri_nr_mes=9&amp;peri_nr_ordem=1"/>
    <hyperlink ref="I90" r:id="rId15" display="http://187.17.2.135/orse/composicao.asp?font_sg_fonte=ORSE&amp;serv_nr_codigo=9962&amp;peri_nr_ano=2018&amp;peri_nr_mes=9&amp;peri_nr_ordem=1"/>
    <hyperlink ref="I93" r:id="rId16" display="http://187.17.2.135/orse/composicao.asp?font_sg_fonte=ORSE&amp;serv_nr_codigo=7681&amp;peri_nr_ano=2018&amp;peri_nr_mes=9&amp;peri_nr_ordem=1"/>
    <hyperlink ref="I94" r:id="rId17" display="http://187.17.2.135/orse/composicao.asp?font_sg_fonte=ORSE&amp;serv_nr_codigo=10169&amp;peri_nr_ano=2018&amp;peri_nr_mes=9&amp;peri_nr_ordem=1"/>
    <hyperlink ref="I97" r:id="rId18" display="http://187.17.2.135/orse/composicao.asp?font_sg_fonte=SINAPI&amp;serv_nr_codigo=88483&amp;peri_nr_ano=2018&amp;peri_nr_mes=9&amp;peri_nr_ordem=1"/>
    <hyperlink ref="I98" r:id="rId19" display="http://187.17.2.135/orse/composicao.asp?font_sg_fonte=SINAPI&amp;serv_nr_codigo=41595&amp;peri_nr_ano=2018&amp;peri_nr_mes=9&amp;peri_nr_ordem=1"/>
    <hyperlink ref="I99" r:id="rId20" display="http://187.17.2.135/orse/composicao.asp?font_sg_fonte=ORSE&amp;serv_nr_codigo=8624&amp;peri_nr_ano=2018&amp;peri_nr_mes=9&amp;peri_nr_ordem=1"/>
    <hyperlink ref="I100" r:id="rId21" display="http://187.17.2.135/orse/composicao.asp?font_sg_fonte=ORSE&amp;serv_nr_codigo=7695&amp;peri_nr_ano=2018&amp;peri_nr_mes=9&amp;peri_nr_ordem=1"/>
    <hyperlink ref="I101" r:id="rId22" display="http://187.17.2.135/orse/composicao.asp?font_sg_fonte=ORSE&amp;serv_nr_codigo=2339&amp;peri_nr_ano=2018&amp;peri_nr_mes=9&amp;peri_nr_ordem=1"/>
    <hyperlink ref="I102" r:id="rId23" display="http://187.17.2.135/orse/composicao.asp?font_sg_fonte=ORSE&amp;serv_nr_codigo=2339&amp;peri_nr_ano=2018&amp;peri_nr_mes=9&amp;peri_nr_ordem=1"/>
    <hyperlink ref="I103" r:id="rId24" display="http://187.17.2.135/orse/composicao.asp?font_sg_fonte=SINAPI&amp;serv_nr_codigo=72815&amp;peri_nr_ano=2018&amp;peri_nr_mes=9&amp;peri_nr_ordem=1"/>
    <hyperlink ref="I104" r:id="rId25" display="http://187.17.2.135/orse/composicao.asp?font_sg_fonte=ORSE&amp;serv_nr_codigo=2291&amp;peri_nr_ano=2018&amp;peri_nr_mes=9&amp;peri_nr_ordem=1"/>
    <hyperlink ref="I113" r:id="rId26" display="http://187.17.2.135/orse/composicao.asp?font_sg_fonte=ORSE&amp;serv_nr_codigo=1430&amp;peri_nr_ano=2018&amp;peri_nr_mes=9&amp;peri_nr_ordem=1"/>
    <hyperlink ref="I114" r:id="rId27" display="http://187.17.2.135/orse/composicao.asp?font_sg_fonte=SINAPI&amp;serv_nr_codigo=86884&amp;peri_nr_ano=2018&amp;peri_nr_mes=9&amp;peri_nr_ordem=1"/>
    <hyperlink ref="I115" r:id="rId28" display="http://187.17.2.135/orse/composicao.asp?font_sg_fonte=ORSE&amp;serv_nr_codigo=9963&amp;peri_nr_ano=2018&amp;peri_nr_mes=9&amp;peri_nr_ordem=1"/>
    <hyperlink ref="I137" r:id="rId29" display="http://187.17.2.135/orse/composicao.asp?font_sg_fonte=SINAPI&amp;serv_nr_codigo=86915&amp;peri_nr_ano=2018&amp;peri_nr_mes=9&amp;peri_nr_ordem=1"/>
    <hyperlink ref="I138" r:id="rId30" display="http://187.17.2.135/orse/composicao.asp?font_sg_fonte=ORSE&amp;serv_nr_codigo=4281&amp;peri_nr_ano=2018&amp;peri_nr_mes=9&amp;peri_nr_ordem=1"/>
    <hyperlink ref="I147" r:id="rId31" display="http://187.17.2.135/orse/composicao.asp?font_sg_fonte=ORSE&amp;serv_nr_codigo=2060&amp;peri_nr_ano=2018&amp;peri_nr_mes=9&amp;peri_nr_ordem=1"/>
    <hyperlink ref="I153" r:id="rId32" display="http://187.17.2.135/orse/composicao.asp?font_sg_fonte=ORSE&amp;serv_nr_codigo=4282&amp;peri_nr_ano=2018&amp;peri_nr_mes=9&amp;peri_nr_ordem=1"/>
    <hyperlink ref="I163" r:id="rId33" display="http://187.17.2.135/orse/composicao.asp?font_sg_fonte=SINAPI&amp;serv_nr_codigo=86882&amp;peri_nr_ano=2018&amp;peri_nr_mes=9&amp;peri_nr_ordem=1"/>
    <hyperlink ref="I173" r:id="rId34" display="http://187.17.2.135/orse/composicao.asp?font_sg_fonte=ORSE&amp;serv_nr_codigo=9965&amp;peri_nr_ano=2018&amp;peri_nr_mes=9&amp;peri_nr_ordem=1"/>
    <hyperlink ref="I176" r:id="rId35" display="http://187.17.2.135/orse/composicao.asp?font_sg_fonte=ORSE&amp;serv_nr_codigo=7752&amp;peri_nr_ano=2018&amp;peri_nr_mes=9&amp;peri_nr_ordem=1"/>
    <hyperlink ref="I177" r:id="rId36" display="http://187.17.2.135/orse/composicao.asp?font_sg_fonte=ORSE&amp;serv_nr_codigo=4421&amp;peri_nr_ano=2018&amp;peri_nr_mes=9&amp;peri_nr_ordem=1"/>
    <hyperlink ref="I180" r:id="rId37" display="http://187.17.2.135/orse/composicao.asp?font_sg_fonte=SINAPI&amp;serv_nr_codigo=95795&amp;peri_nr_ano=2018&amp;peri_nr_mes=9&amp;peri_nr_ordem=1"/>
    <hyperlink ref="I181" r:id="rId38" display="http://187.17.2.135/orse/composicao.asp?font_sg_fonte=SINAPI&amp;serv_nr_codigo=95808&amp;peri_nr_ano=2018&amp;peri_nr_mes=9&amp;peri_nr_ordem=1"/>
    <hyperlink ref="I183" r:id="rId39" display="http://187.17.2.135/orse/composicao.asp?font_sg_fonte=ORSE&amp;serv_nr_codigo=9933&amp;peri_nr_ano=2018&amp;peri_nr_mes=9&amp;peri_nr_ordem=1"/>
    <hyperlink ref="I184" r:id="rId40" display="http://187.17.2.135/orse/composicao.asp?font_sg_fonte=ORSE&amp;serv_nr_codigo=784&amp;peri_nr_ano=2018&amp;peri_nr_mes=9&amp;peri_nr_ordem=1"/>
    <hyperlink ref="I186" r:id="rId41" display="http://187.17.2.135/orse/composicao.asp?font_sg_fonte=ORSE&amp;serv_nr_codigo=11186&amp;peri_nr_ano=2018&amp;peri_nr_mes=9&amp;peri_nr_ordem=1"/>
    <hyperlink ref="I187" r:id="rId42" display="http://187.17.2.135/orse/composicao.asp?font_sg_fonte=ORSE&amp;serv_nr_codigo=11187&amp;peri_nr_ano=2018&amp;peri_nr_mes=9&amp;peri_nr_ordem=1"/>
    <hyperlink ref="I188" r:id="rId43" display="http://187.17.2.135/orse/composicao.asp?font_sg_fonte=ORSE&amp;serv_nr_codigo=3801&amp;peri_nr_ano=2018&amp;peri_nr_mes=9&amp;peri_nr_ordem=1"/>
    <hyperlink ref="I189" r:id="rId44" display="http://187.17.2.135/orse/composicao.asp?font_sg_fonte=ORSE&amp;serv_nr_codigo=9968&amp;peri_nr_ano=2018&amp;peri_nr_mes=9&amp;peri_nr_ordem=1"/>
    <hyperlink ref="I191" r:id="rId45" display="http://187.17.2.135/orse/composicao.asp?font_sg_fonte=ORSE&amp;serv_nr_codigo=780&amp;peri_nr_ano=2018&amp;peri_nr_mes=9&amp;peri_nr_ordem=1"/>
    <hyperlink ref="I190" r:id="rId46" display="http://187.17.2.135/orse/composicao.asp?font_sg_fonte=ORSE&amp;serv_nr_codigo=478&amp;peri_nr_ano=2018&amp;peri_nr_mes=9&amp;peri_nr_ordem=1"/>
    <hyperlink ref="I192" r:id="rId47" display="http://187.17.2.135/orse/composicao.asp?font_sg_fonte=SINAPI&amp;serv_nr_codigo=92025&amp;peri_nr_ano=2018&amp;peri_nr_mes=9&amp;peri_nr_ordem=1"/>
    <hyperlink ref="I193" r:id="rId48" display="http://187.17.2.135/orse/composicao.asp?font_sg_fonte=SINAPI&amp;serv_nr_codigo=93653&amp;peri_nr_ano=2018&amp;peri_nr_mes=9&amp;peri_nr_ordem=1"/>
    <hyperlink ref="I194" r:id="rId49" display="http://187.17.2.135/orse/composicao.asp?font_sg_fonte=SINAPI&amp;serv_nr_codigo=93662&amp;peri_nr_ano=2018&amp;peri_nr_mes=9&amp;peri_nr_ordem=1"/>
    <hyperlink ref="I195" r:id="rId50" display="http://187.17.2.135/orse/composicao.asp?font_sg_fonte=SINAPI&amp;serv_nr_codigo=93663&amp;peri_nr_ano=2018&amp;peri_nr_mes=9&amp;peri_nr_ordem=1"/>
    <hyperlink ref="I207" r:id="rId51" display="http://187.17.2.135/orse/composicao.asp?font_sg_fonte=ORSE&amp;serv_nr_codigo=3954&amp;peri_nr_ano=2018&amp;peri_nr_mes=9&amp;peri_nr_ordem=1"/>
    <hyperlink ref="I208" r:id="rId52" display="http://187.17.2.135/orse/composicao.asp?font_sg_fonte=ORSE&amp;serv_nr_codigo=570&amp;peri_nr_ano=2018&amp;peri_nr_mes=9&amp;peri_nr_ordem=1"/>
    <hyperlink ref="I220" r:id="rId53" display="http://187.17.2.135/orse/composicao.asp?font_sg_fonte=ORSE&amp;serv_nr_codigo=12034&amp;peri_nr_ano=2018&amp;peri_nr_mes=9&amp;peri_nr_ordem=1"/>
    <hyperlink ref="I222" r:id="rId54" display="http://187.17.2.135/orse/composicao.asp?font_sg_fonte=ORSE&amp;serv_nr_codigo=10759&amp;peri_nr_ano=2018&amp;peri_nr_mes=9&amp;peri_nr_ordem=1"/>
    <hyperlink ref="I223" r:id="rId55" display="http://187.17.2.135/orse/composicao.asp?font_sg_fonte=ORSE&amp;serv_nr_codigo=2410&amp;peri_nr_ano=2018&amp;peri_nr_mes=9&amp;peri_nr_ordem=1"/>
    <hyperlink ref="I225" r:id="rId56" display="http://187.17.2.135/orse/composicao.asp?font_sg_fonte=ORSE&amp;serv_nr_codigo=8492&amp;peri_nr_ano=2018&amp;peri_nr_mes=9&amp;peri_nr_ordem=1"/>
    <hyperlink ref="I226" r:id="rId57" display="http://187.17.2.135/orse/composicao.asp?font_sg_fonte=ORSE&amp;serv_nr_codigo=1889&amp;peri_nr_ano=2018&amp;peri_nr_mes=9&amp;peri_nr_ordem=1"/>
  </hyperlinks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58"/>
  <headerFooter>
    <oddFooter>&amp;LClarice Maria Lima FortesCNPJ: 18.228.092/0001-27&amp;C&amp;P/&amp;N&amp;RSabrina Livia de Medeiros PereiraEngenheira CivilCREA: 160495993-2</oddFooter>
  </headerFooter>
  <rowBreaks count="3" manualBreakCount="3">
    <brk id="87" max="29" man="1"/>
    <brk id="104" max="29" man="1"/>
    <brk id="177" max="29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96"/>
  <sheetViews>
    <sheetView view="pageBreakPreview" zoomScale="110" zoomScaleSheetLayoutView="110" workbookViewId="0">
      <selection activeCell="C11" sqref="C11"/>
    </sheetView>
  </sheetViews>
  <sheetFormatPr defaultColWidth="9.140625" defaultRowHeight="12.75"/>
  <cols>
    <col min="1" max="1" width="9.140625" style="10"/>
    <col min="2" max="2" width="88.7109375" style="7" bestFit="1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507" t="s">
        <v>363</v>
      </c>
      <c r="B1" s="507"/>
      <c r="C1" s="507"/>
      <c r="D1" s="507"/>
    </row>
    <row r="2" spans="1:4" ht="24.75" customHeight="1">
      <c r="A2" s="507" t="s">
        <v>365</v>
      </c>
      <c r="B2" s="507"/>
      <c r="C2" s="507"/>
      <c r="D2" s="507"/>
    </row>
    <row r="3" spans="1:4" ht="19.5" customHeight="1">
      <c r="A3" s="507" t="s">
        <v>366</v>
      </c>
      <c r="B3" s="507"/>
      <c r="C3" s="507"/>
      <c r="D3" s="507"/>
    </row>
    <row r="5" spans="1:4" ht="15" customHeight="1">
      <c r="A5" s="507" t="s">
        <v>437</v>
      </c>
      <c r="B5" s="507"/>
      <c r="C5" s="507"/>
      <c r="D5" s="507"/>
    </row>
    <row r="7" spans="1:4" s="9" customFormat="1">
      <c r="A7" s="11" t="s">
        <v>367</v>
      </c>
      <c r="B7" s="8" t="s">
        <v>368</v>
      </c>
      <c r="C7" s="15" t="s">
        <v>364</v>
      </c>
      <c r="D7" s="8" t="s">
        <v>369</v>
      </c>
    </row>
    <row r="8" spans="1:4">
      <c r="C8" s="13"/>
    </row>
    <row r="9" spans="1:4" s="9" customFormat="1">
      <c r="A9" s="1">
        <v>6</v>
      </c>
      <c r="B9" s="2" t="s">
        <v>70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71</v>
      </c>
      <c r="B11" s="2" t="s">
        <v>72</v>
      </c>
      <c r="C11" s="16">
        <f>C23</f>
        <v>159.13999999999999</v>
      </c>
      <c r="D11" s="8" t="s">
        <v>399</v>
      </c>
    </row>
    <row r="12" spans="1:4">
      <c r="A12" s="5"/>
      <c r="B12" s="6"/>
      <c r="C12" s="18"/>
      <c r="D12" s="6"/>
    </row>
    <row r="13" spans="1:4">
      <c r="A13" s="5"/>
      <c r="B13" s="6" t="s">
        <v>421</v>
      </c>
      <c r="C13" s="125">
        <v>1114</v>
      </c>
      <c r="D13" s="127" t="s">
        <v>417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420</v>
      </c>
      <c r="C15" s="18">
        <v>7</v>
      </c>
      <c r="D15" s="6" t="s">
        <v>419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422</v>
      </c>
      <c r="C17" s="14">
        <v>1</v>
      </c>
      <c r="D17" s="4" t="s">
        <v>418</v>
      </c>
    </row>
    <row r="18" spans="1:4">
      <c r="A18" s="3"/>
      <c r="B18" s="6"/>
      <c r="C18" s="18"/>
      <c r="D18" s="6"/>
    </row>
    <row r="19" spans="1:4">
      <c r="A19" s="3"/>
      <c r="B19" s="129" t="s">
        <v>429</v>
      </c>
      <c r="C19" s="18"/>
      <c r="D19" s="6"/>
    </row>
    <row r="20" spans="1:4" ht="13.5" thickBot="1">
      <c r="A20" s="3"/>
      <c r="B20" s="130" t="s">
        <v>423</v>
      </c>
    </row>
    <row r="21" spans="1:4" ht="13.5" thickBot="1">
      <c r="A21" s="3"/>
      <c r="B21" s="131" t="s">
        <v>428</v>
      </c>
      <c r="C21" s="18">
        <f>C17*C13/C15</f>
        <v>159.14285714285714</v>
      </c>
      <c r="D21" s="6" t="s">
        <v>399</v>
      </c>
    </row>
    <row r="22" spans="1:4">
      <c r="A22" s="3"/>
      <c r="B22" s="6"/>
      <c r="C22" s="18"/>
      <c r="D22" s="6"/>
    </row>
    <row r="23" spans="1:4">
      <c r="A23" s="3"/>
      <c r="B23" s="126" t="s">
        <v>425</v>
      </c>
      <c r="C23" s="14">
        <f>ROUND(C21,2)</f>
        <v>159.13999999999999</v>
      </c>
      <c r="D23" s="4" t="s">
        <v>417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424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108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115</v>
      </c>
      <c r="B29" s="2" t="s">
        <v>116</v>
      </c>
      <c r="C29" s="16">
        <f>C41</f>
        <v>0</v>
      </c>
      <c r="D29" s="8" t="s">
        <v>399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421</v>
      </c>
      <c r="C31" s="125">
        <v>1114</v>
      </c>
      <c r="D31" s="127" t="s">
        <v>417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420</v>
      </c>
      <c r="C33" s="18">
        <v>7</v>
      </c>
      <c r="D33" s="6" t="s">
        <v>419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422</v>
      </c>
      <c r="C35" s="14"/>
      <c r="D35" s="4" t="s">
        <v>418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429</v>
      </c>
      <c r="C37" s="18"/>
      <c r="D37" s="6"/>
    </row>
    <row r="38" spans="1:4" ht="13.5" hidden="1" thickBot="1">
      <c r="A38" s="3"/>
      <c r="B38" s="130" t="s">
        <v>423</v>
      </c>
    </row>
    <row r="39" spans="1:4" ht="13.5" hidden="1" thickBot="1">
      <c r="A39" s="3"/>
      <c r="B39" s="131" t="s">
        <v>428</v>
      </c>
      <c r="C39" s="18">
        <f>C35*C31/C33</f>
        <v>0</v>
      </c>
      <c r="D39" s="6" t="s">
        <v>399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425</v>
      </c>
      <c r="C41" s="14">
        <f>ROUND(C39,2)</f>
        <v>0</v>
      </c>
      <c r="D41" s="4" t="s">
        <v>417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424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117</v>
      </c>
      <c r="B45" s="2" t="s">
        <v>118</v>
      </c>
      <c r="C45" s="16">
        <f>C57</f>
        <v>0</v>
      </c>
      <c r="D45" s="8" t="s">
        <v>399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421</v>
      </c>
      <c r="C47" s="125">
        <v>1114</v>
      </c>
      <c r="D47" s="127" t="s">
        <v>417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420</v>
      </c>
      <c r="C49" s="18">
        <v>7</v>
      </c>
      <c r="D49" s="6" t="s">
        <v>419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422</v>
      </c>
      <c r="C51" s="14"/>
      <c r="D51" s="4" t="s">
        <v>418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429</v>
      </c>
      <c r="C53" s="18"/>
      <c r="D53" s="6"/>
    </row>
    <row r="54" spans="1:4" ht="13.5" hidden="1" thickBot="1">
      <c r="A54" s="3"/>
      <c r="B54" s="130" t="s">
        <v>423</v>
      </c>
    </row>
    <row r="55" spans="1:4" ht="13.5" hidden="1" thickBot="1">
      <c r="A55" s="3"/>
      <c r="B55" s="131" t="s">
        <v>428</v>
      </c>
      <c r="C55" s="18">
        <f>C51*C47/C49</f>
        <v>0</v>
      </c>
      <c r="D55" s="6" t="s">
        <v>399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425</v>
      </c>
      <c r="C57" s="14">
        <f>ROUND(C55,2)</f>
        <v>0</v>
      </c>
      <c r="D57" s="4" t="s">
        <v>417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424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108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115</v>
      </c>
      <c r="B66" s="2" t="s">
        <v>116</v>
      </c>
      <c r="C66" s="16">
        <f>C78</f>
        <v>159.13999999999999</v>
      </c>
      <c r="D66" s="8" t="s">
        <v>399</v>
      </c>
    </row>
    <row r="67" spans="1:4">
      <c r="A67" s="5"/>
      <c r="B67" s="6"/>
      <c r="C67" s="142"/>
      <c r="D67" s="125"/>
    </row>
    <row r="68" spans="1:4">
      <c r="A68" s="5"/>
      <c r="B68" s="6" t="s">
        <v>421</v>
      </c>
      <c r="C68" s="125">
        <v>1114</v>
      </c>
      <c r="D68" s="127" t="s">
        <v>417</v>
      </c>
    </row>
    <row r="69" spans="1:4">
      <c r="A69" s="3"/>
      <c r="B69" s="4"/>
      <c r="C69" s="14"/>
      <c r="D69" s="4"/>
    </row>
    <row r="70" spans="1:4">
      <c r="A70" s="3"/>
      <c r="B70" s="6" t="s">
        <v>420</v>
      </c>
      <c r="C70" s="18">
        <v>7</v>
      </c>
      <c r="D70" s="6" t="s">
        <v>419</v>
      </c>
    </row>
    <row r="71" spans="1:4">
      <c r="A71" s="3"/>
      <c r="B71" s="6"/>
      <c r="C71" s="18"/>
      <c r="D71" s="6"/>
    </row>
    <row r="72" spans="1:4">
      <c r="A72" s="3"/>
      <c r="B72" s="4" t="s">
        <v>422</v>
      </c>
      <c r="C72" s="14">
        <v>1</v>
      </c>
      <c r="D72" s="4" t="s">
        <v>418</v>
      </c>
    </row>
    <row r="73" spans="1:4">
      <c r="A73" s="3"/>
      <c r="B73" s="6"/>
      <c r="C73" s="18"/>
      <c r="D73" s="6"/>
    </row>
    <row r="74" spans="1:4">
      <c r="A74" s="3"/>
      <c r="B74" s="129" t="s">
        <v>429</v>
      </c>
      <c r="C74" s="18"/>
      <c r="D74" s="6"/>
    </row>
    <row r="75" spans="1:4" ht="13.5" thickBot="1">
      <c r="A75" s="3"/>
      <c r="B75" s="130" t="s">
        <v>423</v>
      </c>
    </row>
    <row r="76" spans="1:4" ht="13.5" thickBot="1">
      <c r="A76" s="3"/>
      <c r="B76" s="131" t="s">
        <v>428</v>
      </c>
      <c r="C76" s="18">
        <f>C72*C68/C70</f>
        <v>159.14285714285714</v>
      </c>
      <c r="D76" s="6" t="s">
        <v>399</v>
      </c>
    </row>
    <row r="77" spans="1:4">
      <c r="A77" s="3"/>
      <c r="B77" s="6"/>
      <c r="C77" s="18"/>
      <c r="D77" s="6"/>
    </row>
    <row r="78" spans="1:4">
      <c r="A78" s="3"/>
      <c r="B78" s="126" t="s">
        <v>425</v>
      </c>
      <c r="C78" s="14">
        <f>ROUND(C76,2)</f>
        <v>159.13999999999999</v>
      </c>
      <c r="D78" s="4" t="s">
        <v>417</v>
      </c>
    </row>
    <row r="79" spans="1:4">
      <c r="A79" s="3"/>
      <c r="B79" s="6"/>
      <c r="C79" s="18"/>
      <c r="D79" s="6"/>
    </row>
    <row r="80" spans="1:4">
      <c r="A80" s="3"/>
      <c r="B80" s="126" t="s">
        <v>424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117</v>
      </c>
      <c r="B82" s="2" t="s">
        <v>118</v>
      </c>
      <c r="C82" s="16">
        <f>C94</f>
        <v>159.13999999999999</v>
      </c>
      <c r="D82" s="8" t="s">
        <v>399</v>
      </c>
    </row>
    <row r="83" spans="1:4">
      <c r="A83" s="5"/>
      <c r="B83" s="6"/>
      <c r="C83" s="5"/>
      <c r="D83" s="4"/>
    </row>
    <row r="84" spans="1:4">
      <c r="A84" s="5"/>
      <c r="B84" s="6" t="s">
        <v>421</v>
      </c>
      <c r="C84" s="125">
        <v>1114</v>
      </c>
      <c r="D84" s="127" t="s">
        <v>417</v>
      </c>
    </row>
    <row r="85" spans="1:4">
      <c r="A85" s="3"/>
      <c r="B85" s="4"/>
      <c r="C85" s="14"/>
      <c r="D85" s="4"/>
    </row>
    <row r="86" spans="1:4">
      <c r="A86" s="3"/>
      <c r="B86" s="6" t="s">
        <v>420</v>
      </c>
      <c r="C86" s="18">
        <v>7</v>
      </c>
      <c r="D86" s="6" t="s">
        <v>419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422</v>
      </c>
      <c r="C88" s="14">
        <v>1</v>
      </c>
      <c r="D88" s="4" t="s">
        <v>418</v>
      </c>
    </row>
    <row r="89" spans="1:4">
      <c r="A89" s="3"/>
      <c r="B89" s="6"/>
      <c r="C89" s="18"/>
      <c r="D89" s="6"/>
    </row>
    <row r="90" spans="1:4">
      <c r="A90" s="3"/>
      <c r="B90" s="129" t="s">
        <v>429</v>
      </c>
      <c r="C90" s="18"/>
      <c r="D90" s="6"/>
    </row>
    <row r="91" spans="1:4" ht="13.5" thickBot="1">
      <c r="A91" s="3"/>
      <c r="B91" s="130" t="s">
        <v>423</v>
      </c>
    </row>
    <row r="92" spans="1:4" ht="13.5" thickBot="1">
      <c r="A92" s="3"/>
      <c r="B92" s="131" t="s">
        <v>428</v>
      </c>
      <c r="C92" s="18">
        <f>C88*C84/C86</f>
        <v>159.14285714285714</v>
      </c>
      <c r="D92" s="6" t="s">
        <v>399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425</v>
      </c>
      <c r="C94" s="14">
        <f>ROUND(C92,2)</f>
        <v>159.13999999999999</v>
      </c>
      <c r="D94" s="4" t="s">
        <v>417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424</v>
      </c>
      <c r="C96" s="128">
        <f>ROUND(C94/C84,4)</f>
        <v>0.1429</v>
      </c>
      <c r="D96" s="4"/>
    </row>
  </sheetData>
  <mergeCells count="4">
    <mergeCell ref="A3:D3"/>
    <mergeCell ref="A2:D2"/>
    <mergeCell ref="A1:D1"/>
    <mergeCell ref="A5:D5"/>
  </mergeCells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view="pageBreakPreview" topLeftCell="A7" zoomScale="150" zoomScaleSheetLayoutView="150" workbookViewId="0">
      <selection activeCell="D13" sqref="D13"/>
    </sheetView>
  </sheetViews>
  <sheetFormatPr defaultColWidth="9.140625" defaultRowHeight="18.75"/>
  <cols>
    <col min="1" max="1" width="47.5703125" style="110" customWidth="1"/>
    <col min="2" max="2" width="20.7109375" style="111" bestFit="1" customWidth="1"/>
    <col min="3" max="3" width="13.28515625" style="107" bestFit="1" customWidth="1"/>
    <col min="4" max="4" width="14.42578125" style="107" bestFit="1" customWidth="1"/>
    <col min="5" max="16384" width="9.140625" style="107"/>
  </cols>
  <sheetData>
    <row r="1" spans="1:4" ht="19.5" thickBot="1">
      <c r="A1" s="508" t="s">
        <v>408</v>
      </c>
      <c r="B1" s="509"/>
      <c r="C1" s="510"/>
    </row>
    <row r="2" spans="1:4">
      <c r="A2" s="122" t="s">
        <v>367</v>
      </c>
      <c r="B2" s="122" t="s">
        <v>409</v>
      </c>
      <c r="C2" s="122" t="s">
        <v>410</v>
      </c>
    </row>
    <row r="3" spans="1:4">
      <c r="A3" s="118" t="s">
        <v>404</v>
      </c>
      <c r="B3" s="119">
        <v>62112.09</v>
      </c>
      <c r="C3" s="120" t="s">
        <v>411</v>
      </c>
    </row>
    <row r="4" spans="1:4">
      <c r="A4" s="118" t="s">
        <v>405</v>
      </c>
      <c r="B4" s="119">
        <v>32073.11</v>
      </c>
      <c r="C4" s="120" t="s">
        <v>411</v>
      </c>
    </row>
    <row r="5" spans="1:4">
      <c r="A5" s="118" t="s">
        <v>406</v>
      </c>
      <c r="B5" s="119">
        <v>11237.65</v>
      </c>
      <c r="C5" s="120" t="s">
        <v>411</v>
      </c>
    </row>
    <row r="6" spans="1:4">
      <c r="A6" s="118" t="s">
        <v>407</v>
      </c>
      <c r="B6" s="119">
        <v>17485.513199999998</v>
      </c>
      <c r="C6" s="120" t="s">
        <v>411</v>
      </c>
    </row>
    <row r="7" spans="1:4">
      <c r="A7" s="118" t="s">
        <v>426</v>
      </c>
      <c r="B7" s="119" t="e">
        <f>'PLAN. ORÇAMENTO'!AA233</f>
        <v>#REF!</v>
      </c>
      <c r="C7" s="120" t="s">
        <v>411</v>
      </c>
    </row>
    <row r="8" spans="1:4">
      <c r="A8" s="116" t="s">
        <v>432</v>
      </c>
      <c r="B8" s="117" t="e">
        <f>'PLAN. ORÇAMENTO'!AA233</f>
        <v>#REF!</v>
      </c>
      <c r="C8" s="121" t="s">
        <v>413</v>
      </c>
    </row>
    <row r="9" spans="1:4" s="136" customFormat="1" ht="17.25">
      <c r="A9" s="133" t="s">
        <v>412</v>
      </c>
      <c r="B9" s="134" t="e">
        <f>SUM(B3:B7)</f>
        <v>#REF!</v>
      </c>
      <c r="C9" s="135"/>
    </row>
    <row r="10" spans="1:4">
      <c r="A10" s="112" t="s">
        <v>413</v>
      </c>
      <c r="B10" s="113" t="e">
        <f>B8</f>
        <v>#REF!</v>
      </c>
    </row>
    <row r="11" spans="1:4">
      <c r="A11" s="114" t="s">
        <v>414</v>
      </c>
      <c r="B11" s="115" t="e">
        <f>SUM(B9:B10)</f>
        <v>#REF!</v>
      </c>
      <c r="C11" s="132"/>
      <c r="D11" s="132"/>
    </row>
    <row r="13" spans="1:4">
      <c r="A13" s="114" t="s">
        <v>415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427</v>
      </c>
      <c r="B15" s="124" t="e">
        <f>B13-B9</f>
        <v>#REF!</v>
      </c>
    </row>
    <row r="16" spans="1:4">
      <c r="A16" s="116" t="s">
        <v>431</v>
      </c>
      <c r="B16" s="117" t="e">
        <f>B13-B11</f>
        <v>#REF!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2:P269"/>
  <sheetViews>
    <sheetView view="pageBreakPreview" topLeftCell="A13" zoomScaleSheetLayoutView="100" workbookViewId="0">
      <pane ySplit="1980" activePane="bottomLeft"/>
      <selection activeCell="A13" sqref="A1:XFD1048576"/>
      <selection pane="bottomLeft" activeCell="N17" sqref="N17"/>
    </sheetView>
  </sheetViews>
  <sheetFormatPr defaultColWidth="9.140625" defaultRowHeight="12.75"/>
  <cols>
    <col min="1" max="1" width="6.42578125" style="238" customWidth="1"/>
    <col min="2" max="2" width="49.42578125" style="238" customWidth="1"/>
    <col min="3" max="3" width="9.42578125" style="238" customWidth="1"/>
    <col min="4" max="4" width="11.5703125" style="262" customWidth="1"/>
    <col min="5" max="5" width="12" style="343" customWidth="1"/>
    <col min="6" max="6" width="21" style="261" customWidth="1"/>
    <col min="7" max="7" width="12.5703125" style="289" customWidth="1"/>
    <col min="8" max="8" width="11.42578125" style="293" bestFit="1" customWidth="1"/>
    <col min="9" max="9" width="13.28515625" style="290" bestFit="1" customWidth="1"/>
    <col min="10" max="10" width="5.5703125" style="286" hidden="1" customWidth="1"/>
    <col min="11" max="11" width="12.140625" style="261" customWidth="1"/>
    <col min="12" max="12" width="17.5703125" style="301" customWidth="1"/>
    <col min="13" max="13" width="17.140625" style="238" customWidth="1"/>
    <col min="14" max="14" width="19" style="238" customWidth="1"/>
    <col min="15" max="15" width="15.42578125" style="238" customWidth="1"/>
    <col min="16" max="19" width="9.140625" style="238" customWidth="1"/>
    <col min="20" max="16384" width="9.140625" style="238"/>
  </cols>
  <sheetData>
    <row r="2" spans="1:16" ht="14.25" customHeight="1">
      <c r="A2" s="547" t="s">
        <v>552</v>
      </c>
      <c r="B2" s="547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28"/>
      <c r="O2" s="228"/>
      <c r="P2" s="228"/>
    </row>
    <row r="3" spans="1:16" ht="14.25" customHeight="1">
      <c r="A3" s="547" t="s">
        <v>556</v>
      </c>
      <c r="B3" s="547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28"/>
      <c r="O3" s="228"/>
      <c r="P3" s="228"/>
    </row>
    <row r="4" spans="1:16" ht="14.25" customHeight="1">
      <c r="A4" s="547" t="s">
        <v>898</v>
      </c>
      <c r="B4" s="547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28"/>
      <c r="O4" s="228"/>
      <c r="P4" s="228"/>
    </row>
    <row r="5" spans="1:16" ht="13.5" thickBot="1"/>
    <row r="6" spans="1:16" ht="29.25" customHeight="1">
      <c r="A6" s="535" t="s">
        <v>396</v>
      </c>
      <c r="B6" s="536"/>
      <c r="C6" s="536"/>
      <c r="D6" s="536"/>
      <c r="E6" s="536"/>
      <c r="F6" s="536"/>
      <c r="G6" s="536"/>
      <c r="H6" s="536"/>
      <c r="I6" s="536"/>
      <c r="J6" s="536"/>
      <c r="K6" s="236"/>
      <c r="L6" s="300"/>
      <c r="M6" s="237"/>
    </row>
    <row r="7" spans="1:16" ht="12" customHeight="1">
      <c r="A7" s="537" t="s">
        <v>370</v>
      </c>
      <c r="B7" s="538"/>
      <c r="C7" s="538"/>
      <c r="D7" s="538"/>
      <c r="E7" s="539"/>
      <c r="F7" s="240" t="s">
        <v>371</v>
      </c>
      <c r="G7" s="241" t="s">
        <v>372</v>
      </c>
      <c r="H7" s="557" t="s">
        <v>373</v>
      </c>
      <c r="I7" s="558"/>
      <c r="J7" s="559"/>
      <c r="L7" s="540" t="s">
        <v>374</v>
      </c>
      <c r="M7" s="541"/>
    </row>
    <row r="8" spans="1:16" ht="14.25" customHeight="1">
      <c r="A8" s="542" t="s">
        <v>556</v>
      </c>
      <c r="B8" s="543"/>
      <c r="C8" s="543"/>
      <c r="D8" s="543"/>
      <c r="E8" s="544"/>
      <c r="F8" s="242">
        <v>2</v>
      </c>
      <c r="G8" s="335">
        <v>44540</v>
      </c>
      <c r="H8" s="532" t="s">
        <v>973</v>
      </c>
      <c r="I8" s="533"/>
      <c r="J8" s="534"/>
      <c r="K8" s="238"/>
      <c r="L8" s="545">
        <v>43865</v>
      </c>
      <c r="M8" s="546"/>
    </row>
    <row r="9" spans="1:16" ht="24.75" customHeight="1">
      <c r="A9" s="537" t="s">
        <v>375</v>
      </c>
      <c r="B9" s="538"/>
      <c r="C9" s="538"/>
      <c r="D9" s="538"/>
      <c r="E9" s="539"/>
      <c r="F9" s="240" t="s">
        <v>376</v>
      </c>
      <c r="G9" s="241" t="s">
        <v>377</v>
      </c>
      <c r="H9" s="557" t="s">
        <v>378</v>
      </c>
      <c r="I9" s="558"/>
      <c r="J9" s="559"/>
      <c r="K9" s="238"/>
      <c r="L9" s="540" t="s">
        <v>379</v>
      </c>
      <c r="M9" s="541"/>
    </row>
    <row r="10" spans="1:16" ht="15" customHeight="1">
      <c r="A10" s="542" t="s">
        <v>539</v>
      </c>
      <c r="B10" s="543"/>
      <c r="C10" s="543"/>
      <c r="D10" s="543"/>
      <c r="E10" s="544"/>
      <c r="F10" s="243" t="s">
        <v>540</v>
      </c>
      <c r="G10" s="336">
        <v>43866</v>
      </c>
      <c r="H10" s="560">
        <v>44286</v>
      </c>
      <c r="I10" s="561"/>
      <c r="J10" s="562"/>
      <c r="K10" s="238"/>
      <c r="L10" s="545" t="s">
        <v>558</v>
      </c>
      <c r="M10" s="546"/>
    </row>
    <row r="11" spans="1:16" ht="33.75" customHeight="1">
      <c r="A11" s="537" t="s">
        <v>380</v>
      </c>
      <c r="B11" s="538"/>
      <c r="C11" s="538"/>
      <c r="D11" s="538"/>
      <c r="E11" s="539"/>
      <c r="F11" s="511" t="s">
        <v>381</v>
      </c>
      <c r="G11" s="512"/>
      <c r="H11" s="512"/>
      <c r="I11" s="512"/>
      <c r="J11" s="512"/>
      <c r="K11" s="513"/>
      <c r="L11" s="540" t="s">
        <v>382</v>
      </c>
      <c r="M11" s="541"/>
    </row>
    <row r="12" spans="1:16" ht="37.5" customHeight="1">
      <c r="A12" s="551" t="s">
        <v>557</v>
      </c>
      <c r="B12" s="552"/>
      <c r="C12" s="552"/>
      <c r="D12" s="552"/>
      <c r="E12" s="553"/>
      <c r="F12" s="554" t="s">
        <v>897</v>
      </c>
      <c r="G12" s="555"/>
      <c r="H12" s="555"/>
      <c r="I12" s="555"/>
      <c r="J12" s="555"/>
      <c r="K12" s="556"/>
      <c r="L12" s="526">
        <v>608330.93000000005</v>
      </c>
      <c r="M12" s="527"/>
      <c r="N12" s="238">
        <f>2750+3422.01+58722.47</f>
        <v>64894.48</v>
      </c>
    </row>
    <row r="13" spans="1:16" ht="16.5" customHeight="1">
      <c r="A13" s="548" t="s">
        <v>394</v>
      </c>
      <c r="B13" s="549"/>
      <c r="C13" s="549"/>
      <c r="D13" s="549"/>
      <c r="E13" s="549"/>
      <c r="F13" s="549"/>
      <c r="G13" s="549"/>
      <c r="H13" s="549"/>
      <c r="I13" s="549"/>
      <c r="J13" s="549"/>
      <c r="K13" s="550"/>
      <c r="L13" s="526">
        <f>L16+L26+L101+L22+L51+L86+L89+L105+L119+L157+L194+L234+L241+L247+L255+L264</f>
        <v>68154.01884460001</v>
      </c>
      <c r="M13" s="527"/>
      <c r="N13" s="304"/>
    </row>
    <row r="14" spans="1:16" ht="16.5" customHeight="1">
      <c r="A14" s="282"/>
      <c r="B14" s="280"/>
      <c r="C14" s="528" t="s">
        <v>387</v>
      </c>
      <c r="D14" s="529"/>
      <c r="E14" s="529"/>
      <c r="F14" s="531"/>
      <c r="G14" s="523" t="s">
        <v>906</v>
      </c>
      <c r="H14" s="524"/>
      <c r="I14" s="525"/>
      <c r="J14" s="244"/>
      <c r="K14" s="528" t="s">
        <v>390</v>
      </c>
      <c r="L14" s="529"/>
      <c r="M14" s="530"/>
    </row>
    <row r="15" spans="1:16" ht="51" customHeight="1">
      <c r="A15" s="321" t="s">
        <v>0</v>
      </c>
      <c r="B15" s="281" t="s">
        <v>1</v>
      </c>
      <c r="C15" s="269" t="s">
        <v>2</v>
      </c>
      <c r="D15" s="269" t="s">
        <v>3</v>
      </c>
      <c r="E15" s="344" t="s">
        <v>384</v>
      </c>
      <c r="F15" s="270" t="s">
        <v>4</v>
      </c>
      <c r="G15" s="272" t="s">
        <v>392</v>
      </c>
      <c r="H15" s="272" t="s">
        <v>385</v>
      </c>
      <c r="I15" s="272" t="s">
        <v>386</v>
      </c>
      <c r="J15" s="271" t="s">
        <v>401</v>
      </c>
      <c r="K15" s="270" t="s">
        <v>388</v>
      </c>
      <c r="L15" s="271" t="s">
        <v>385</v>
      </c>
      <c r="M15" s="273" t="s">
        <v>389</v>
      </c>
    </row>
    <row r="16" spans="1:16" s="265" customFormat="1">
      <c r="A16" s="264" t="s">
        <v>541</v>
      </c>
      <c r="B16" s="514" t="s">
        <v>5</v>
      </c>
      <c r="C16" s="515"/>
      <c r="D16" s="515"/>
      <c r="E16" s="516"/>
      <c r="F16" s="268">
        <f>SUM(F17:F20)</f>
        <v>12655.240407999998</v>
      </c>
      <c r="G16" s="287"/>
      <c r="H16" s="291"/>
      <c r="I16" s="278"/>
      <c r="J16" s="267"/>
      <c r="K16" s="361">
        <f>SUM(K17:K20)</f>
        <v>4632.7284</v>
      </c>
      <c r="L16" s="364">
        <f>SUM(L17:L21)</f>
        <v>2750.0020080000004</v>
      </c>
      <c r="M16" s="364">
        <f>SUM(M17:M20)</f>
        <v>7382.7304080000004</v>
      </c>
      <c r="N16" s="315"/>
    </row>
    <row r="17" spans="1:15" s="284" customFormat="1" ht="25.5">
      <c r="A17" s="245" t="s">
        <v>6</v>
      </c>
      <c r="B17" s="246" t="s">
        <v>559</v>
      </c>
      <c r="C17" s="247" t="s">
        <v>105</v>
      </c>
      <c r="D17" s="248">
        <v>134</v>
      </c>
      <c r="E17" s="248">
        <v>34.572600000000001</v>
      </c>
      <c r="F17" s="252">
        <f>E17*D17</f>
        <v>4632.7284</v>
      </c>
      <c r="G17" s="288"/>
      <c r="H17" s="292"/>
      <c r="I17" s="260"/>
      <c r="J17" s="252"/>
      <c r="K17" s="362">
        <f>F17</f>
        <v>4632.7284</v>
      </c>
      <c r="L17" s="363"/>
      <c r="M17" s="362">
        <f>K17</f>
        <v>4632.7284</v>
      </c>
      <c r="N17" s="302"/>
    </row>
    <row r="18" spans="1:15" s="284" customFormat="1" ht="25.5">
      <c r="A18" s="245" t="s">
        <v>9</v>
      </c>
      <c r="B18" s="250" t="s">
        <v>560</v>
      </c>
      <c r="C18" s="247" t="s">
        <v>78</v>
      </c>
      <c r="D18" s="248">
        <v>1</v>
      </c>
      <c r="E18" s="248">
        <v>1758.7</v>
      </c>
      <c r="F18" s="252">
        <f>E18*D18</f>
        <v>1758.7</v>
      </c>
      <c r="G18" s="288"/>
      <c r="H18" s="292"/>
      <c r="I18" s="260"/>
      <c r="J18" s="252"/>
      <c r="K18" s="249"/>
      <c r="L18" s="318"/>
      <c r="M18" s="318"/>
      <c r="N18" s="302"/>
    </row>
    <row r="19" spans="1:15" s="284" customFormat="1">
      <c r="A19" s="245" t="s">
        <v>11</v>
      </c>
      <c r="B19" s="251" t="s">
        <v>561</v>
      </c>
      <c r="C19" s="247" t="s">
        <v>8</v>
      </c>
      <c r="D19" s="248">
        <v>10</v>
      </c>
      <c r="E19" s="248">
        <v>351.38099999999997</v>
      </c>
      <c r="F19" s="252">
        <f>E19*D19</f>
        <v>3513.8099999999995</v>
      </c>
      <c r="G19" s="288"/>
      <c r="H19" s="292"/>
      <c r="I19" s="260"/>
      <c r="J19" s="252"/>
      <c r="K19" s="249"/>
      <c r="L19" s="317"/>
      <c r="M19" s="318"/>
      <c r="N19" s="302"/>
    </row>
    <row r="20" spans="1:15" s="284" customFormat="1" ht="25.5">
      <c r="A20" s="245" t="s">
        <v>13</v>
      </c>
      <c r="B20" s="337" t="s">
        <v>970</v>
      </c>
      <c r="C20" s="338" t="s">
        <v>8</v>
      </c>
      <c r="D20" s="339">
        <v>1200</v>
      </c>
      <c r="E20" s="340">
        <f>2.21*1.3126*0.79</f>
        <v>2.2916683400000002</v>
      </c>
      <c r="F20" s="252">
        <f>D20*E20</f>
        <v>2750.0020080000004</v>
      </c>
      <c r="G20" s="288"/>
      <c r="H20" s="356">
        <v>1200</v>
      </c>
      <c r="I20" s="355">
        <v>1200</v>
      </c>
      <c r="J20" s="252"/>
      <c r="K20" s="360">
        <v>0</v>
      </c>
      <c r="L20" s="362">
        <f>D20*E20</f>
        <v>2750.0020080000004</v>
      </c>
      <c r="M20" s="362">
        <f>K20+L20</f>
        <v>2750.0020080000004</v>
      </c>
      <c r="N20" s="302"/>
    </row>
    <row r="21" spans="1:15" s="284" customFormat="1">
      <c r="A21" s="517"/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9"/>
      <c r="N21" s="302"/>
    </row>
    <row r="22" spans="1:15" s="285" customFormat="1">
      <c r="A22" s="264" t="s">
        <v>543</v>
      </c>
      <c r="B22" s="514" t="s">
        <v>20</v>
      </c>
      <c r="C22" s="515"/>
      <c r="D22" s="515"/>
      <c r="E22" s="516"/>
      <c r="F22" s="268">
        <f>SUM(F23:F24)</f>
        <v>21241.503113799998</v>
      </c>
      <c r="G22" s="287"/>
      <c r="H22" s="291"/>
      <c r="I22" s="278"/>
      <c r="J22" s="267"/>
      <c r="K22" s="365">
        <f>SUM(K23:K24)</f>
        <v>1312.3423529999998</v>
      </c>
      <c r="L22" s="364">
        <f>SUM(L23:L24)</f>
        <v>3253.9586899999995</v>
      </c>
      <c r="M22" s="364">
        <f>SUM(M23:M24)</f>
        <v>4566.3010429999995</v>
      </c>
      <c r="N22" s="316"/>
    </row>
    <row r="23" spans="1:15" s="284" customFormat="1" ht="25.5">
      <c r="A23" s="247" t="s">
        <v>21</v>
      </c>
      <c r="B23" s="246" t="s">
        <v>562</v>
      </c>
      <c r="C23" s="247" t="s">
        <v>23</v>
      </c>
      <c r="D23" s="248">
        <v>81.209999999999994</v>
      </c>
      <c r="E23" s="248">
        <v>52.514699999999998</v>
      </c>
      <c r="F23" s="252">
        <f>E23*D23</f>
        <v>4264.7187869999998</v>
      </c>
      <c r="G23" s="356">
        <v>24.99</v>
      </c>
      <c r="H23" s="356">
        <v>21.79</v>
      </c>
      <c r="I23" s="355">
        <f>G23+H23</f>
        <v>46.78</v>
      </c>
      <c r="J23" s="252"/>
      <c r="K23" s="362">
        <f>E23*G23</f>
        <v>1312.3423529999998</v>
      </c>
      <c r="L23" s="362">
        <f>E23*H23</f>
        <v>1144.2953129999999</v>
      </c>
      <c r="M23" s="362">
        <f>K23+L23</f>
        <v>2456.6376659999996</v>
      </c>
      <c r="N23" s="302"/>
    </row>
    <row r="24" spans="1:15" s="284" customFormat="1" ht="25.5">
      <c r="A24" s="334" t="s">
        <v>24</v>
      </c>
      <c r="B24" s="346" t="s">
        <v>971</v>
      </c>
      <c r="C24" s="338" t="s">
        <v>23</v>
      </c>
      <c r="D24" s="248">
        <v>501.74</v>
      </c>
      <c r="E24" s="248">
        <v>33.835819999999998</v>
      </c>
      <c r="F24" s="252">
        <f>D24*E24</f>
        <v>16976.7843268</v>
      </c>
      <c r="G24" s="288"/>
      <c r="H24" s="356">
        <v>62.35</v>
      </c>
      <c r="I24" s="355">
        <v>62.35</v>
      </c>
      <c r="J24" s="252"/>
      <c r="K24" s="362"/>
      <c r="L24" s="362">
        <f>E24*H24</f>
        <v>2109.6633769999999</v>
      </c>
      <c r="M24" s="362">
        <f>K24+L24</f>
        <v>2109.6633769999999</v>
      </c>
      <c r="N24" s="302"/>
    </row>
    <row r="25" spans="1:15" s="284" customFormat="1">
      <c r="A25" s="520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2"/>
      <c r="N25" s="302"/>
    </row>
    <row r="26" spans="1:15" s="265" customFormat="1">
      <c r="A26" s="264" t="s">
        <v>544</v>
      </c>
      <c r="B26" s="514" t="s">
        <v>563</v>
      </c>
      <c r="C26" s="515"/>
      <c r="D26" s="515"/>
      <c r="E26" s="516"/>
      <c r="F26" s="268">
        <f>SUM(F27,F42,F44)</f>
        <v>154321.84075190002</v>
      </c>
      <c r="G26" s="287"/>
      <c r="H26" s="291"/>
      <c r="I26" s="278"/>
      <c r="J26" s="267"/>
      <c r="K26" s="368">
        <f>SUM(A22:M25)</f>
        <v>61635.770919599985</v>
      </c>
      <c r="L26" s="367">
        <f>SUM(L27,L42,L44)</f>
        <v>60986.287769600007</v>
      </c>
      <c r="M26" s="367">
        <f>SUM(M27,M42,M44)</f>
        <v>77802.889791099995</v>
      </c>
      <c r="N26" s="316"/>
      <c r="O26" s="320"/>
    </row>
    <row r="27" spans="1:15" s="284" customFormat="1">
      <c r="A27" s="253" t="s">
        <v>33</v>
      </c>
      <c r="B27" s="254" t="s">
        <v>564</v>
      </c>
      <c r="C27" s="253"/>
      <c r="D27" s="255"/>
      <c r="E27" s="345"/>
      <c r="F27" s="350">
        <f>SUM(F28:F41)-0.01</f>
        <v>63766.269369499998</v>
      </c>
      <c r="G27" s="288"/>
      <c r="H27" s="292"/>
      <c r="I27" s="260"/>
      <c r="J27" s="252"/>
      <c r="K27" s="354">
        <f>SUM(K28:K40)</f>
        <v>43948.701060500003</v>
      </c>
      <c r="L27" s="354">
        <f>SUM(L28:L41)</f>
        <v>5330.2052549999999</v>
      </c>
      <c r="M27" s="375">
        <f>SUM(M28:M40)</f>
        <v>22146.807276499996</v>
      </c>
      <c r="N27" s="302"/>
    </row>
    <row r="28" spans="1:15">
      <c r="A28" s="247" t="s">
        <v>35</v>
      </c>
      <c r="B28" s="250" t="s">
        <v>918</v>
      </c>
      <c r="C28" s="247" t="s">
        <v>23</v>
      </c>
      <c r="D28" s="248">
        <v>67.27</v>
      </c>
      <c r="E28" s="248">
        <v>63.211100000000002</v>
      </c>
      <c r="F28" s="252">
        <f t="shared" ref="F28:F49" si="0">E28*D28</f>
        <v>4252.2106969999995</v>
      </c>
      <c r="G28" s="356">
        <v>26.04</v>
      </c>
      <c r="H28" s="357"/>
      <c r="I28" s="355">
        <f>G28+H28</f>
        <v>26.04</v>
      </c>
      <c r="J28" s="252"/>
      <c r="K28" s="249">
        <f>E28*G28</f>
        <v>1646.0170439999999</v>
      </c>
      <c r="L28" s="317"/>
      <c r="M28" s="371">
        <f t="shared" ref="M28:M30" si="1">K28+L28</f>
        <v>1646.0170439999999</v>
      </c>
      <c r="N28" s="302"/>
      <c r="O28" s="303"/>
    </row>
    <row r="29" spans="1:15" s="284" customFormat="1">
      <c r="A29" s="247" t="s">
        <v>37</v>
      </c>
      <c r="B29" s="250" t="s">
        <v>565</v>
      </c>
      <c r="C29" s="247" t="s">
        <v>8</v>
      </c>
      <c r="D29" s="248">
        <v>43.4</v>
      </c>
      <c r="E29" s="248">
        <v>1.5802</v>
      </c>
      <c r="F29" s="252">
        <f t="shared" si="0"/>
        <v>68.580680000000001</v>
      </c>
      <c r="G29" s="356">
        <v>43.4</v>
      </c>
      <c r="H29" s="357"/>
      <c r="I29" s="355">
        <f t="shared" ref="I29:I30" si="2">G29+H29</f>
        <v>43.4</v>
      </c>
      <c r="J29" s="252"/>
      <c r="K29" s="249">
        <f t="shared" ref="K29:K30" si="3">E29*G29</f>
        <v>68.580680000000001</v>
      </c>
      <c r="L29" s="317"/>
      <c r="M29" s="371">
        <f t="shared" si="1"/>
        <v>68.580680000000001</v>
      </c>
      <c r="N29" s="302"/>
    </row>
    <row r="30" spans="1:15" s="284" customFormat="1" ht="25.5">
      <c r="A30" s="247" t="s">
        <v>39</v>
      </c>
      <c r="B30" s="250" t="s">
        <v>566</v>
      </c>
      <c r="C30" s="247" t="s">
        <v>23</v>
      </c>
      <c r="D30" s="248">
        <v>2.17</v>
      </c>
      <c r="E30" s="248">
        <v>497.23050000000001</v>
      </c>
      <c r="F30" s="252">
        <f t="shared" si="0"/>
        <v>1078.9901849999999</v>
      </c>
      <c r="G30" s="356">
        <v>2.17</v>
      </c>
      <c r="H30" s="357"/>
      <c r="I30" s="355">
        <f t="shared" si="2"/>
        <v>2.17</v>
      </c>
      <c r="J30" s="252"/>
      <c r="K30" s="249">
        <f t="shared" si="3"/>
        <v>1078.9901849999999</v>
      </c>
      <c r="L30" s="317"/>
      <c r="M30" s="371">
        <f t="shared" si="1"/>
        <v>1078.9901849999999</v>
      </c>
      <c r="N30" s="302"/>
    </row>
    <row r="31" spans="1:15" s="284" customFormat="1" ht="25.5">
      <c r="A31" s="247" t="s">
        <v>567</v>
      </c>
      <c r="B31" s="250" t="s">
        <v>568</v>
      </c>
      <c r="C31" s="247" t="s">
        <v>8</v>
      </c>
      <c r="D31" s="248">
        <v>167.25</v>
      </c>
      <c r="E31" s="248">
        <v>113.52204999999999</v>
      </c>
      <c r="F31" s="252">
        <f t="shared" si="0"/>
        <v>18986.562862499999</v>
      </c>
      <c r="G31" s="356">
        <v>62.85</v>
      </c>
      <c r="H31" s="356">
        <v>34.5</v>
      </c>
      <c r="I31" s="355">
        <f>G31+H31</f>
        <v>97.35</v>
      </c>
      <c r="J31" s="252"/>
      <c r="K31" s="249">
        <f>E31*G31</f>
        <v>7134.8608424999993</v>
      </c>
      <c r="L31" s="366">
        <f>E31*H31</f>
        <v>3916.5107249999996</v>
      </c>
      <c r="M31" s="371">
        <f>K31+L31</f>
        <v>11051.371567499998</v>
      </c>
      <c r="N31" s="302"/>
      <c r="O31" s="303"/>
    </row>
    <row r="32" spans="1:15" s="284" customFormat="1" ht="25.5">
      <c r="A32" s="247" t="s">
        <v>569</v>
      </c>
      <c r="B32" s="250" t="s">
        <v>919</v>
      </c>
      <c r="C32" s="247" t="s">
        <v>570</v>
      </c>
      <c r="D32" s="248">
        <v>127.6</v>
      </c>
      <c r="E32" s="248">
        <v>20.500599999999999</v>
      </c>
      <c r="F32" s="252">
        <f t="shared" si="0"/>
        <v>2615.8765599999997</v>
      </c>
      <c r="G32" s="356">
        <f>'MEMÓRIA DE CÁLCULO'!R46</f>
        <v>127.6</v>
      </c>
      <c r="H32" s="357"/>
      <c r="I32" s="355">
        <f>G32+H32</f>
        <v>127.6</v>
      </c>
      <c r="J32" s="252"/>
      <c r="K32" s="249">
        <f t="shared" ref="K32:K38" si="4">E32*G32</f>
        <v>2615.8765599999997</v>
      </c>
      <c r="L32" s="317"/>
      <c r="M32" s="371">
        <f t="shared" ref="M32:M38" si="5">I32</f>
        <v>127.6</v>
      </c>
      <c r="N32" s="302"/>
    </row>
    <row r="33" spans="1:15" s="284" customFormat="1" ht="25.5">
      <c r="A33" s="247" t="s">
        <v>571</v>
      </c>
      <c r="B33" s="250" t="s">
        <v>920</v>
      </c>
      <c r="C33" s="247" t="s">
        <v>570</v>
      </c>
      <c r="D33" s="248">
        <v>285.8</v>
      </c>
      <c r="E33" s="248">
        <v>20.092130000000001</v>
      </c>
      <c r="F33" s="252">
        <f t="shared" si="0"/>
        <v>5742.3307540000005</v>
      </c>
      <c r="G33" s="356">
        <f>'MEMÓRIA DE CÁLCULO'!R49</f>
        <v>285.8</v>
      </c>
      <c r="H33" s="357"/>
      <c r="I33" s="355">
        <f t="shared" ref="I33:I38" si="6">G33+H33</f>
        <v>285.8</v>
      </c>
      <c r="J33" s="252"/>
      <c r="K33" s="249">
        <f t="shared" si="4"/>
        <v>5742.3307540000005</v>
      </c>
      <c r="L33" s="317"/>
      <c r="M33" s="371">
        <f t="shared" si="5"/>
        <v>285.8</v>
      </c>
      <c r="N33" s="302"/>
    </row>
    <row r="34" spans="1:15" s="284" customFormat="1" ht="25.5">
      <c r="A34" s="247" t="s">
        <v>572</v>
      </c>
      <c r="B34" s="250" t="s">
        <v>921</v>
      </c>
      <c r="C34" s="247" t="s">
        <v>570</v>
      </c>
      <c r="D34" s="248">
        <v>149.30000000000001</v>
      </c>
      <c r="E34" s="248">
        <v>19.393350000000002</v>
      </c>
      <c r="F34" s="252">
        <f t="shared" si="0"/>
        <v>2895.4271550000003</v>
      </c>
      <c r="G34" s="356">
        <f>'MEMÓRIA DE CÁLCULO'!R52</f>
        <v>149.30000000000001</v>
      </c>
      <c r="H34" s="357"/>
      <c r="I34" s="355">
        <f t="shared" si="6"/>
        <v>149.30000000000001</v>
      </c>
      <c r="J34" s="252"/>
      <c r="K34" s="249">
        <f t="shared" si="4"/>
        <v>2895.4271550000003</v>
      </c>
      <c r="L34" s="317"/>
      <c r="M34" s="371">
        <f t="shared" si="5"/>
        <v>149.30000000000001</v>
      </c>
      <c r="N34" s="302"/>
    </row>
    <row r="35" spans="1:15" s="284" customFormat="1" ht="25.5">
      <c r="A35" s="247" t="s">
        <v>573</v>
      </c>
      <c r="B35" s="250" t="s">
        <v>922</v>
      </c>
      <c r="C35" s="247" t="s">
        <v>570</v>
      </c>
      <c r="D35" s="248">
        <v>396.5</v>
      </c>
      <c r="E35" s="248">
        <v>17.608830000000001</v>
      </c>
      <c r="F35" s="252">
        <f t="shared" si="0"/>
        <v>6981.9010950000002</v>
      </c>
      <c r="G35" s="356">
        <f>'MEMÓRIA DE CÁLCULO'!R55</f>
        <v>396.5</v>
      </c>
      <c r="H35" s="357"/>
      <c r="I35" s="355">
        <f t="shared" si="6"/>
        <v>396.5</v>
      </c>
      <c r="J35" s="252"/>
      <c r="K35" s="249">
        <f t="shared" si="4"/>
        <v>6981.9010950000002</v>
      </c>
      <c r="L35" s="317"/>
      <c r="M35" s="371">
        <f t="shared" si="5"/>
        <v>396.5</v>
      </c>
      <c r="N35" s="302"/>
    </row>
    <row r="36" spans="1:15" s="284" customFormat="1" ht="25.5">
      <c r="A36" s="247" t="s">
        <v>574</v>
      </c>
      <c r="B36" s="250" t="s">
        <v>923</v>
      </c>
      <c r="C36" s="247" t="s">
        <v>570</v>
      </c>
      <c r="D36" s="248">
        <v>187.4</v>
      </c>
      <c r="E36" s="248">
        <v>15.03955</v>
      </c>
      <c r="F36" s="252">
        <f t="shared" si="0"/>
        <v>2818.41167</v>
      </c>
      <c r="G36" s="356">
        <f>'MEMÓRIA DE CÁLCULO'!R58</f>
        <v>187.4</v>
      </c>
      <c r="H36" s="357"/>
      <c r="I36" s="355">
        <f t="shared" si="6"/>
        <v>187.4</v>
      </c>
      <c r="J36" s="252"/>
      <c r="K36" s="249">
        <f t="shared" si="4"/>
        <v>2818.41167</v>
      </c>
      <c r="L36" s="317"/>
      <c r="M36" s="371">
        <f t="shared" si="5"/>
        <v>187.4</v>
      </c>
      <c r="N36" s="302"/>
    </row>
    <row r="37" spans="1:15" s="284" customFormat="1" ht="25.5">
      <c r="A37" s="247" t="s">
        <v>575</v>
      </c>
      <c r="B37" s="250" t="s">
        <v>924</v>
      </c>
      <c r="C37" s="247" t="s">
        <v>570</v>
      </c>
      <c r="D37" s="248">
        <v>298.3</v>
      </c>
      <c r="E37" s="248">
        <v>14.502000000000001</v>
      </c>
      <c r="F37" s="252">
        <f t="shared" si="0"/>
        <v>4325.9466000000002</v>
      </c>
      <c r="G37" s="356">
        <f>'MEMÓRIA DE CÁLCULO'!R61</f>
        <v>298.3</v>
      </c>
      <c r="H37" s="357"/>
      <c r="I37" s="355">
        <f t="shared" si="6"/>
        <v>298.3</v>
      </c>
      <c r="J37" s="252"/>
      <c r="K37" s="249">
        <f t="shared" si="4"/>
        <v>4325.9466000000002</v>
      </c>
      <c r="L37" s="317"/>
      <c r="M37" s="371">
        <f t="shared" si="5"/>
        <v>298.3</v>
      </c>
      <c r="N37" s="302"/>
    </row>
    <row r="38" spans="1:15" s="284" customFormat="1" ht="25.5">
      <c r="A38" s="247" t="s">
        <v>576</v>
      </c>
      <c r="B38" s="250" t="s">
        <v>925</v>
      </c>
      <c r="C38" s="247" t="s">
        <v>570</v>
      </c>
      <c r="D38" s="248">
        <v>170.9</v>
      </c>
      <c r="E38" s="248">
        <v>16.458549999999999</v>
      </c>
      <c r="F38" s="252">
        <f t="shared" si="0"/>
        <v>2812.7661949999997</v>
      </c>
      <c r="G38" s="356">
        <f>'MEMÓRIA DE CÁLCULO'!R64</f>
        <v>170.9</v>
      </c>
      <c r="H38" s="357"/>
      <c r="I38" s="355">
        <f t="shared" si="6"/>
        <v>170.9</v>
      </c>
      <c r="J38" s="252"/>
      <c r="K38" s="249">
        <f t="shared" si="4"/>
        <v>2812.7661949999997</v>
      </c>
      <c r="L38" s="317"/>
      <c r="M38" s="371">
        <f t="shared" si="5"/>
        <v>170.9</v>
      </c>
      <c r="N38" s="302"/>
    </row>
    <row r="39" spans="1:15" s="284" customFormat="1" ht="25.5">
      <c r="A39" s="247" t="s">
        <v>577</v>
      </c>
      <c r="B39" s="250" t="s">
        <v>926</v>
      </c>
      <c r="C39" s="247" t="s">
        <v>23</v>
      </c>
      <c r="D39" s="248">
        <v>17.05</v>
      </c>
      <c r="E39" s="248">
        <v>396.33850000000001</v>
      </c>
      <c r="F39" s="252">
        <f t="shared" si="0"/>
        <v>6757.5714250000001</v>
      </c>
      <c r="G39" s="356">
        <f>'MEMÓRIA DE CÁLCULO'!R67</f>
        <v>10.59</v>
      </c>
      <c r="H39" s="358">
        <v>1.56</v>
      </c>
      <c r="I39" s="355">
        <f>G39+H39</f>
        <v>12.15</v>
      </c>
      <c r="J39" s="252"/>
      <c r="K39" s="249">
        <f>E39*G39</f>
        <v>4197.2247150000003</v>
      </c>
      <c r="L39" s="366">
        <f>E39*H39</f>
        <v>618.28806000000009</v>
      </c>
      <c r="M39" s="371">
        <f>K39+L39</f>
        <v>4815.5127750000001</v>
      </c>
      <c r="N39" s="302"/>
    </row>
    <row r="40" spans="1:15" s="284" customFormat="1" ht="25.5">
      <c r="A40" s="247" t="s">
        <v>578</v>
      </c>
      <c r="B40" s="250" t="s">
        <v>927</v>
      </c>
      <c r="C40" s="247" t="s">
        <v>23</v>
      </c>
      <c r="D40" s="248">
        <v>17.05</v>
      </c>
      <c r="E40" s="248">
        <v>153.95349999999999</v>
      </c>
      <c r="F40" s="252">
        <f t="shared" si="0"/>
        <v>2624.9071749999998</v>
      </c>
      <c r="G40" s="356">
        <f>'MEMÓRIA DE CÁLCULO'!R202</f>
        <v>10.59</v>
      </c>
      <c r="H40" s="358">
        <v>1.56</v>
      </c>
      <c r="I40" s="355">
        <f>G40+H40</f>
        <v>12.15</v>
      </c>
      <c r="J40" s="252"/>
      <c r="K40" s="249">
        <f>E40*G40</f>
        <v>1630.3675649999998</v>
      </c>
      <c r="L40" s="366">
        <f>E40*H40</f>
        <v>240.16746000000001</v>
      </c>
      <c r="M40" s="371">
        <f>K40+L40</f>
        <v>1870.5350249999997</v>
      </c>
      <c r="N40" s="302"/>
      <c r="O40" s="319"/>
    </row>
    <row r="41" spans="1:15" s="284" customFormat="1">
      <c r="A41" s="247" t="s">
        <v>580</v>
      </c>
      <c r="B41" s="250" t="s">
        <v>928</v>
      </c>
      <c r="C41" s="247" t="s">
        <v>23</v>
      </c>
      <c r="D41" s="248">
        <v>50.22</v>
      </c>
      <c r="E41" s="248">
        <v>35.937800000000003</v>
      </c>
      <c r="F41" s="252">
        <f t="shared" si="0"/>
        <v>1804.7963160000002</v>
      </c>
      <c r="G41" s="288"/>
      <c r="H41" s="356">
        <v>15.45</v>
      </c>
      <c r="I41" s="260">
        <f>G41+H41</f>
        <v>15.45</v>
      </c>
      <c r="J41" s="252"/>
      <c r="K41" s="249"/>
      <c r="L41" s="249">
        <f>E41*H41</f>
        <v>555.23901000000001</v>
      </c>
      <c r="M41" s="371">
        <f>K41+L41</f>
        <v>555.23901000000001</v>
      </c>
      <c r="N41" s="302"/>
    </row>
    <row r="42" spans="1:15" s="284" customFormat="1">
      <c r="A42" s="253" t="s">
        <v>41</v>
      </c>
      <c r="B42" s="254" t="s">
        <v>581</v>
      </c>
      <c r="C42" s="253"/>
      <c r="D42" s="255"/>
      <c r="E42" s="345"/>
      <c r="F42" s="350">
        <f>F43</f>
        <v>56360.321394000006</v>
      </c>
      <c r="G42" s="288"/>
      <c r="H42" s="292"/>
      <c r="I42" s="260"/>
      <c r="J42" s="252"/>
      <c r="K42" s="249"/>
      <c r="L42" s="354">
        <f>L43</f>
        <v>42503.150092000003</v>
      </c>
      <c r="M42" s="372">
        <f>M43</f>
        <v>42503.150092000003</v>
      </c>
      <c r="N42" s="302"/>
    </row>
    <row r="43" spans="1:15" s="284" customFormat="1" ht="25.5">
      <c r="A43" s="247" t="s">
        <v>43</v>
      </c>
      <c r="B43" s="246" t="s">
        <v>582</v>
      </c>
      <c r="C43" s="247" t="s">
        <v>23</v>
      </c>
      <c r="D43" s="248">
        <v>153.66</v>
      </c>
      <c r="E43" s="248">
        <v>366.78590000000003</v>
      </c>
      <c r="F43" s="252">
        <f t="shared" si="0"/>
        <v>56360.321394000006</v>
      </c>
      <c r="G43" s="356"/>
      <c r="H43" s="358">
        <v>115.88</v>
      </c>
      <c r="I43" s="359">
        <f>G43+H43</f>
        <v>115.88</v>
      </c>
      <c r="J43" s="252"/>
      <c r="K43" s="249"/>
      <c r="L43" s="249">
        <f>E43*H43</f>
        <v>42503.150092000003</v>
      </c>
      <c r="M43" s="371">
        <f>K43+L43</f>
        <v>42503.150092000003</v>
      </c>
      <c r="N43" s="302"/>
    </row>
    <row r="44" spans="1:15">
      <c r="A44" s="253" t="s">
        <v>583</v>
      </c>
      <c r="B44" s="254" t="s">
        <v>584</v>
      </c>
      <c r="C44" s="253"/>
      <c r="D44" s="255"/>
      <c r="E44" s="345"/>
      <c r="F44" s="350">
        <f>SUM(F45:F49)</f>
        <v>34195.249988400006</v>
      </c>
      <c r="G44" s="356"/>
      <c r="H44" s="357"/>
      <c r="I44" s="359"/>
      <c r="J44" s="252"/>
      <c r="K44" s="249"/>
      <c r="L44" s="354">
        <f>SUM(L45:L49)</f>
        <v>13152.932422600001</v>
      </c>
      <c r="M44" s="372">
        <f>SUM(M45:M49)</f>
        <v>13152.932422600001</v>
      </c>
      <c r="N44" s="302"/>
    </row>
    <row r="45" spans="1:15" s="284" customFormat="1" ht="25.5">
      <c r="A45" s="247" t="s">
        <v>585</v>
      </c>
      <c r="B45" s="250" t="s">
        <v>586</v>
      </c>
      <c r="C45" s="247" t="s">
        <v>8</v>
      </c>
      <c r="D45" s="248">
        <v>233.62</v>
      </c>
      <c r="E45" s="248">
        <v>65.017150000000001</v>
      </c>
      <c r="F45" s="252">
        <f t="shared" si="0"/>
        <v>15189.306583000001</v>
      </c>
      <c r="G45" s="356"/>
      <c r="H45" s="358">
        <v>74.08</v>
      </c>
      <c r="I45" s="359">
        <v>74.08</v>
      </c>
      <c r="J45" s="252"/>
      <c r="K45" s="257"/>
      <c r="L45" s="369">
        <f>E45*H45</f>
        <v>4816.470472</v>
      </c>
      <c r="M45" s="373">
        <f>K45+L45</f>
        <v>4816.470472</v>
      </c>
      <c r="N45" s="302"/>
    </row>
    <row r="46" spans="1:15" s="284" customFormat="1" ht="38.25">
      <c r="A46" s="247" t="s">
        <v>587</v>
      </c>
      <c r="B46" s="250" t="s">
        <v>588</v>
      </c>
      <c r="C46" s="247" t="s">
        <v>570</v>
      </c>
      <c r="D46" s="248">
        <v>275.86</v>
      </c>
      <c r="E46" s="248">
        <v>20.49</v>
      </c>
      <c r="F46" s="252">
        <f>E46*D46-0.03</f>
        <v>5652.3414000000002</v>
      </c>
      <c r="G46" s="356"/>
      <c r="H46" s="358">
        <v>127.71</v>
      </c>
      <c r="I46" s="359">
        <f>G46+H46</f>
        <v>127.71</v>
      </c>
      <c r="J46" s="252"/>
      <c r="K46" s="256"/>
      <c r="L46" s="370">
        <f>E46*H46</f>
        <v>2616.7778999999996</v>
      </c>
      <c r="M46" s="374">
        <f>K46+L46</f>
        <v>2616.7778999999996</v>
      </c>
      <c r="N46" s="302"/>
    </row>
    <row r="47" spans="1:15" s="284" customFormat="1" ht="38.25">
      <c r="A47" s="247" t="s">
        <v>589</v>
      </c>
      <c r="B47" s="250" t="s">
        <v>896</v>
      </c>
      <c r="C47" s="247" t="s">
        <v>570</v>
      </c>
      <c r="D47" s="248">
        <v>372.88</v>
      </c>
      <c r="E47" s="248">
        <v>18.501080000000002</v>
      </c>
      <c r="F47" s="252">
        <f t="shared" si="0"/>
        <v>6898.6827104000004</v>
      </c>
      <c r="G47" s="356"/>
      <c r="H47" s="358">
        <v>173.82</v>
      </c>
      <c r="I47" s="359">
        <f>G47+H47</f>
        <v>173.82</v>
      </c>
      <c r="J47" s="252"/>
      <c r="K47" s="249"/>
      <c r="L47" s="362">
        <f>E47*H47</f>
        <v>3215.8577256000003</v>
      </c>
      <c r="M47" s="371">
        <f>K47+L47</f>
        <v>3215.8577256000003</v>
      </c>
      <c r="N47" s="302"/>
    </row>
    <row r="48" spans="1:15" s="284" customFormat="1" ht="25.5">
      <c r="A48" s="247" t="s">
        <v>590</v>
      </c>
      <c r="B48" s="250" t="s">
        <v>591</v>
      </c>
      <c r="C48" s="247" t="s">
        <v>23</v>
      </c>
      <c r="D48" s="248">
        <v>11.73</v>
      </c>
      <c r="E48" s="248">
        <v>396.33850000000001</v>
      </c>
      <c r="F48" s="252">
        <f t="shared" si="0"/>
        <v>4649.0506050000004</v>
      </c>
      <c r="G48" s="356"/>
      <c r="H48" s="358">
        <v>4.55</v>
      </c>
      <c r="I48" s="359">
        <f>G48+H48</f>
        <v>4.55</v>
      </c>
      <c r="J48" s="252"/>
      <c r="K48" s="249"/>
      <c r="L48" s="362">
        <f>E48*H48</f>
        <v>1803.340175</v>
      </c>
      <c r="M48" s="371">
        <f>K48+L48</f>
        <v>1803.340175</v>
      </c>
      <c r="N48" s="302"/>
    </row>
    <row r="49" spans="1:14" s="284" customFormat="1" ht="25.5">
      <c r="A49" s="247" t="s">
        <v>592</v>
      </c>
      <c r="B49" s="246" t="s">
        <v>579</v>
      </c>
      <c r="C49" s="247" t="s">
        <v>23</v>
      </c>
      <c r="D49" s="248">
        <v>11.73</v>
      </c>
      <c r="E49" s="248">
        <v>153.953</v>
      </c>
      <c r="F49" s="252">
        <f t="shared" si="0"/>
        <v>1805.86869</v>
      </c>
      <c r="G49" s="356"/>
      <c r="H49" s="358">
        <v>4.55</v>
      </c>
      <c r="I49" s="359">
        <f>G49+H49</f>
        <v>4.55</v>
      </c>
      <c r="J49" s="252"/>
      <c r="K49" s="257"/>
      <c r="L49" s="369">
        <f>E49*H49</f>
        <v>700.48614999999995</v>
      </c>
      <c r="M49" s="373">
        <f>K49+L49</f>
        <v>700.48614999999995</v>
      </c>
      <c r="N49" s="302"/>
    </row>
    <row r="50" spans="1:14" s="284" customFormat="1">
      <c r="A50" s="520"/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2"/>
      <c r="N50" s="302"/>
    </row>
    <row r="51" spans="1:14" s="285" customFormat="1">
      <c r="A51" s="264" t="s">
        <v>545</v>
      </c>
      <c r="B51" s="514" t="s">
        <v>47</v>
      </c>
      <c r="C51" s="515"/>
      <c r="D51" s="515"/>
      <c r="E51" s="516"/>
      <c r="F51" s="268">
        <f>SUM(F52,F61,F72,F80)+0.01</f>
        <v>157392.00127750004</v>
      </c>
      <c r="G51" s="287"/>
      <c r="H51" s="291"/>
      <c r="I51" s="278"/>
      <c r="J51" s="267"/>
      <c r="K51" s="266"/>
      <c r="L51" s="266">
        <f>SUM(L52:L85)</f>
        <v>0</v>
      </c>
      <c r="M51" s="266"/>
      <c r="N51" s="302"/>
    </row>
    <row r="52" spans="1:14" s="284" customFormat="1">
      <c r="A52" s="253" t="s">
        <v>48</v>
      </c>
      <c r="B52" s="254" t="s">
        <v>593</v>
      </c>
      <c r="C52" s="253"/>
      <c r="D52" s="255"/>
      <c r="E52" s="345"/>
      <c r="F52" s="350">
        <f>SUM(F53:F60)+0.01</f>
        <v>45462.599783500009</v>
      </c>
      <c r="G52" s="288"/>
      <c r="H52" s="292"/>
      <c r="I52" s="260"/>
      <c r="J52" s="252"/>
      <c r="K52" s="249"/>
      <c r="L52" s="249"/>
      <c r="M52" s="249"/>
      <c r="N52" s="302"/>
    </row>
    <row r="53" spans="1:14" ht="51">
      <c r="A53" s="247" t="s">
        <v>50</v>
      </c>
      <c r="B53" s="246" t="s">
        <v>594</v>
      </c>
      <c r="C53" s="247" t="s">
        <v>8</v>
      </c>
      <c r="D53" s="248">
        <v>257.8</v>
      </c>
      <c r="E53" s="248">
        <v>35.034880000000001</v>
      </c>
      <c r="F53" s="252">
        <f t="shared" ref="F53:F84" si="7">E53*D53</f>
        <v>9031.992064</v>
      </c>
      <c r="G53" s="288"/>
      <c r="H53" s="353"/>
      <c r="I53" s="260"/>
      <c r="J53" s="252"/>
      <c r="K53" s="249"/>
      <c r="L53" s="249"/>
      <c r="M53" s="249"/>
      <c r="N53" s="302"/>
    </row>
    <row r="54" spans="1:14" ht="38.25">
      <c r="A54" s="247" t="s">
        <v>51</v>
      </c>
      <c r="B54" s="246" t="s">
        <v>595</v>
      </c>
      <c r="C54" s="247" t="s">
        <v>570</v>
      </c>
      <c r="D54" s="248">
        <v>295.43</v>
      </c>
      <c r="E54" s="248">
        <v>20.489850000000001</v>
      </c>
      <c r="F54" s="252">
        <f t="shared" si="7"/>
        <v>6053.3163855000003</v>
      </c>
      <c r="G54" s="288"/>
      <c r="H54" s="353"/>
      <c r="I54" s="260"/>
      <c r="J54" s="252"/>
      <c r="K54" s="249"/>
      <c r="L54" s="249"/>
      <c r="M54" s="249"/>
      <c r="N54" s="302"/>
    </row>
    <row r="55" spans="1:14" s="284" customFormat="1" ht="38.25">
      <c r="A55" s="247" t="s">
        <v>596</v>
      </c>
      <c r="B55" s="246" t="s">
        <v>597</v>
      </c>
      <c r="C55" s="247" t="s">
        <v>570</v>
      </c>
      <c r="D55" s="248">
        <v>567.63</v>
      </c>
      <c r="E55" s="248">
        <v>17.565799999999999</v>
      </c>
      <c r="F55" s="252">
        <f t="shared" si="7"/>
        <v>9970.8750540000001</v>
      </c>
      <c r="G55" s="288"/>
      <c r="H55" s="353"/>
      <c r="I55" s="260"/>
      <c r="J55" s="252"/>
      <c r="K55" s="256"/>
      <c r="L55" s="256"/>
      <c r="M55" s="256"/>
      <c r="N55" s="302"/>
    </row>
    <row r="56" spans="1:14" ht="38.25">
      <c r="A56" s="247" t="s">
        <v>598</v>
      </c>
      <c r="B56" s="246" t="s">
        <v>599</v>
      </c>
      <c r="C56" s="247" t="s">
        <v>570</v>
      </c>
      <c r="D56" s="248">
        <v>160.19999999999999</v>
      </c>
      <c r="E56" s="248">
        <v>14.932</v>
      </c>
      <c r="F56" s="252">
        <f t="shared" si="7"/>
        <v>2392.1063999999997</v>
      </c>
      <c r="G56" s="288"/>
      <c r="H56" s="353"/>
      <c r="I56" s="260"/>
      <c r="J56" s="252"/>
      <c r="K56" s="249"/>
      <c r="L56" s="259"/>
      <c r="M56" s="259"/>
      <c r="N56" s="302"/>
    </row>
    <row r="57" spans="1:14" ht="38.25">
      <c r="A57" s="247" t="s">
        <v>600</v>
      </c>
      <c r="B57" s="246" t="s">
        <v>601</v>
      </c>
      <c r="C57" s="247" t="s">
        <v>570</v>
      </c>
      <c r="D57" s="248">
        <v>400</v>
      </c>
      <c r="E57" s="248">
        <v>14.34075</v>
      </c>
      <c r="F57" s="252">
        <f t="shared" si="7"/>
        <v>5736.3</v>
      </c>
      <c r="G57" s="288"/>
      <c r="H57" s="353"/>
      <c r="I57" s="260"/>
      <c r="J57" s="252"/>
      <c r="K57" s="249"/>
      <c r="L57" s="259"/>
      <c r="M57" s="259"/>
      <c r="N57" s="302"/>
    </row>
    <row r="58" spans="1:14" s="284" customFormat="1" ht="38.25">
      <c r="A58" s="247" t="s">
        <v>602</v>
      </c>
      <c r="B58" s="246" t="s">
        <v>603</v>
      </c>
      <c r="C58" s="247" t="s">
        <v>570</v>
      </c>
      <c r="D58" s="248">
        <v>306.3</v>
      </c>
      <c r="E58" s="248">
        <v>15.9748</v>
      </c>
      <c r="F58" s="252">
        <f t="shared" si="7"/>
        <v>4893.0812400000004</v>
      </c>
      <c r="G58" s="288"/>
      <c r="H58" s="353"/>
      <c r="I58" s="260"/>
      <c r="J58" s="252"/>
      <c r="K58" s="249"/>
      <c r="L58" s="259"/>
      <c r="M58" s="259"/>
      <c r="N58" s="302"/>
    </row>
    <row r="59" spans="1:14" s="284" customFormat="1" ht="25.5">
      <c r="A59" s="247" t="s">
        <v>604</v>
      </c>
      <c r="B59" s="246" t="s">
        <v>605</v>
      </c>
      <c r="C59" s="247" t="s">
        <v>23</v>
      </c>
      <c r="D59" s="248">
        <v>13.42</v>
      </c>
      <c r="E59" s="248">
        <v>396.33800000000002</v>
      </c>
      <c r="F59" s="252">
        <f t="shared" si="7"/>
        <v>5318.8559599999999</v>
      </c>
      <c r="G59" s="288"/>
      <c r="H59" s="353"/>
      <c r="I59" s="260"/>
      <c r="J59" s="252"/>
      <c r="K59" s="249"/>
      <c r="L59" s="249"/>
      <c r="M59" s="249"/>
      <c r="N59" s="302"/>
    </row>
    <row r="60" spans="1:14" ht="25.5">
      <c r="A60" s="247" t="s">
        <v>606</v>
      </c>
      <c r="B60" s="246" t="s">
        <v>579</v>
      </c>
      <c r="C60" s="247" t="s">
        <v>23</v>
      </c>
      <c r="D60" s="248">
        <v>13.42</v>
      </c>
      <c r="E60" s="248">
        <v>153.95400000000001</v>
      </c>
      <c r="F60" s="252">
        <f t="shared" si="7"/>
        <v>2066.06268</v>
      </c>
      <c r="G60" s="288"/>
      <c r="H60" s="353"/>
      <c r="I60" s="260"/>
      <c r="J60" s="252"/>
      <c r="K60" s="249"/>
      <c r="L60" s="249"/>
      <c r="M60" s="249"/>
      <c r="N60" s="302"/>
    </row>
    <row r="61" spans="1:14">
      <c r="A61" s="253" t="s">
        <v>52</v>
      </c>
      <c r="B61" s="254" t="s">
        <v>607</v>
      </c>
      <c r="C61" s="253"/>
      <c r="D61" s="255"/>
      <c r="E61" s="345"/>
      <c r="F61" s="350">
        <f>SUM(F62:F71)+0.01</f>
        <v>41622.770968000004</v>
      </c>
      <c r="G61" s="288"/>
      <c r="H61" s="353"/>
      <c r="I61" s="260"/>
      <c r="J61" s="252"/>
      <c r="K61" s="256"/>
      <c r="L61" s="256"/>
      <c r="M61" s="256"/>
      <c r="N61" s="302"/>
    </row>
    <row r="62" spans="1:14" ht="38.25">
      <c r="A62" s="247" t="s">
        <v>54</v>
      </c>
      <c r="B62" s="246" t="s">
        <v>608</v>
      </c>
      <c r="C62" s="247" t="s">
        <v>8</v>
      </c>
      <c r="D62" s="248">
        <v>216.86</v>
      </c>
      <c r="E62" s="248">
        <v>51.439700000000002</v>
      </c>
      <c r="F62" s="252">
        <f t="shared" si="7"/>
        <v>11155.213342000001</v>
      </c>
      <c r="G62" s="288"/>
      <c r="H62" s="353"/>
      <c r="I62" s="260"/>
      <c r="J62" s="252"/>
      <c r="K62" s="249"/>
      <c r="L62" s="249"/>
      <c r="M62" s="249"/>
      <c r="N62" s="302"/>
    </row>
    <row r="63" spans="1:14" s="284" customFormat="1" ht="38.25">
      <c r="A63" s="247" t="s">
        <v>55</v>
      </c>
      <c r="B63" s="246" t="s">
        <v>595</v>
      </c>
      <c r="C63" s="247" t="s">
        <v>570</v>
      </c>
      <c r="D63" s="248">
        <v>233.7</v>
      </c>
      <c r="E63" s="248">
        <v>20.489850000000001</v>
      </c>
      <c r="F63" s="252">
        <f t="shared" si="7"/>
        <v>4788.4779449999996</v>
      </c>
      <c r="G63" s="288"/>
      <c r="H63" s="353"/>
      <c r="I63" s="260"/>
      <c r="J63" s="252"/>
      <c r="K63" s="257"/>
      <c r="L63" s="257"/>
      <c r="M63" s="257"/>
      <c r="N63" s="302"/>
    </row>
    <row r="64" spans="1:14" s="284" customFormat="1" ht="38.25">
      <c r="A64" s="247" t="s">
        <v>609</v>
      </c>
      <c r="B64" s="246" t="s">
        <v>610</v>
      </c>
      <c r="C64" s="247" t="s">
        <v>570</v>
      </c>
      <c r="D64" s="248">
        <v>114.9</v>
      </c>
      <c r="E64" s="248">
        <v>19.3826</v>
      </c>
      <c r="F64" s="252">
        <f t="shared" si="7"/>
        <v>2227.0607399999999</v>
      </c>
      <c r="G64" s="288"/>
      <c r="H64" s="353"/>
      <c r="I64" s="260"/>
      <c r="J64" s="252"/>
      <c r="K64" s="256"/>
      <c r="L64" s="256"/>
      <c r="M64" s="256"/>
      <c r="N64" s="302"/>
    </row>
    <row r="65" spans="1:14" s="284" customFormat="1" ht="38.25">
      <c r="A65" s="247" t="s">
        <v>611</v>
      </c>
      <c r="B65" s="246" t="s">
        <v>612</v>
      </c>
      <c r="C65" s="247" t="s">
        <v>570</v>
      </c>
      <c r="D65" s="248">
        <v>118</v>
      </c>
      <c r="E65" s="248">
        <v>20.12435</v>
      </c>
      <c r="F65" s="252">
        <f t="shared" si="7"/>
        <v>2374.6732999999999</v>
      </c>
      <c r="G65" s="288"/>
      <c r="H65" s="353"/>
      <c r="I65" s="260"/>
      <c r="J65" s="252"/>
      <c r="K65" s="249"/>
      <c r="L65" s="249"/>
      <c r="M65" s="249"/>
      <c r="N65" s="302"/>
    </row>
    <row r="66" spans="1:14" ht="38.25">
      <c r="A66" s="247" t="s">
        <v>613</v>
      </c>
      <c r="B66" s="246" t="s">
        <v>597</v>
      </c>
      <c r="C66" s="247" t="s">
        <v>570</v>
      </c>
      <c r="D66" s="248">
        <v>239.3</v>
      </c>
      <c r="E66" s="248">
        <v>17.565799999999999</v>
      </c>
      <c r="F66" s="252">
        <f t="shared" si="7"/>
        <v>4203.4959399999998</v>
      </c>
      <c r="G66" s="288"/>
      <c r="H66" s="353"/>
      <c r="I66" s="260"/>
      <c r="J66" s="252"/>
      <c r="K66" s="249"/>
      <c r="L66" s="249"/>
      <c r="M66" s="249"/>
      <c r="N66" s="302"/>
    </row>
    <row r="67" spans="1:14" s="284" customFormat="1" ht="38.25">
      <c r="A67" s="247" t="s">
        <v>614</v>
      </c>
      <c r="B67" s="246" t="s">
        <v>599</v>
      </c>
      <c r="C67" s="247" t="s">
        <v>570</v>
      </c>
      <c r="D67" s="248">
        <v>176.8</v>
      </c>
      <c r="E67" s="248">
        <v>14.932</v>
      </c>
      <c r="F67" s="252">
        <f t="shared" si="7"/>
        <v>2639.9776000000002</v>
      </c>
      <c r="G67" s="288"/>
      <c r="H67" s="353"/>
      <c r="I67" s="260"/>
      <c r="J67" s="252"/>
      <c r="K67" s="283"/>
      <c r="L67" s="249"/>
      <c r="M67" s="274"/>
      <c r="N67" s="302"/>
    </row>
    <row r="68" spans="1:14" ht="38.25">
      <c r="A68" s="247" t="s">
        <v>615</v>
      </c>
      <c r="B68" s="246" t="s">
        <v>601</v>
      </c>
      <c r="C68" s="247" t="s">
        <v>570</v>
      </c>
      <c r="D68" s="248">
        <v>100.4</v>
      </c>
      <c r="E68" s="248">
        <v>14.3407</v>
      </c>
      <c r="F68" s="252">
        <f t="shared" si="7"/>
        <v>1439.80628</v>
      </c>
      <c r="G68" s="288"/>
      <c r="H68" s="353"/>
      <c r="I68" s="260"/>
      <c r="J68" s="252"/>
      <c r="K68" s="275"/>
      <c r="L68" s="275"/>
      <c r="M68" s="275"/>
      <c r="N68" s="302"/>
    </row>
    <row r="69" spans="1:14" ht="25.5">
      <c r="A69" s="247" t="s">
        <v>616</v>
      </c>
      <c r="B69" s="246" t="s">
        <v>605</v>
      </c>
      <c r="C69" s="247" t="s">
        <v>23</v>
      </c>
      <c r="D69" s="248">
        <v>11.62</v>
      </c>
      <c r="E69" s="248">
        <v>396.33800000000002</v>
      </c>
      <c r="F69" s="252">
        <f t="shared" si="7"/>
        <v>4605.4475599999996</v>
      </c>
      <c r="G69" s="288"/>
      <c r="H69" s="353"/>
      <c r="I69" s="260"/>
      <c r="J69" s="252"/>
      <c r="K69" s="249"/>
      <c r="L69" s="249"/>
      <c r="M69" s="249"/>
      <c r="N69" s="302"/>
    </row>
    <row r="70" spans="1:14" ht="25.5">
      <c r="A70" s="247" t="s">
        <v>617</v>
      </c>
      <c r="B70" s="246" t="s">
        <v>579</v>
      </c>
      <c r="C70" s="247" t="s">
        <v>23</v>
      </c>
      <c r="D70" s="248">
        <v>11.62</v>
      </c>
      <c r="E70" s="248">
        <v>153.95349999999999</v>
      </c>
      <c r="F70" s="252">
        <f t="shared" si="7"/>
        <v>1788.9396699999998</v>
      </c>
      <c r="G70" s="288"/>
      <c r="H70" s="353"/>
      <c r="I70" s="260"/>
      <c r="J70" s="252"/>
      <c r="K70" s="249"/>
      <c r="L70" s="249"/>
      <c r="M70" s="249"/>
      <c r="N70" s="302"/>
    </row>
    <row r="71" spans="1:14" ht="25.5">
      <c r="A71" s="247" t="s">
        <v>618</v>
      </c>
      <c r="B71" s="246" t="s">
        <v>619</v>
      </c>
      <c r="C71" s="247" t="s">
        <v>105</v>
      </c>
      <c r="D71" s="248">
        <v>182.89</v>
      </c>
      <c r="E71" s="248">
        <v>34.991900000000001</v>
      </c>
      <c r="F71" s="252">
        <f t="shared" si="7"/>
        <v>6399.6685909999997</v>
      </c>
      <c r="G71" s="288"/>
      <c r="H71" s="353"/>
      <c r="I71" s="260"/>
      <c r="J71" s="252"/>
      <c r="K71" s="249"/>
      <c r="L71" s="249"/>
      <c r="M71" s="249"/>
      <c r="N71" s="302"/>
    </row>
    <row r="72" spans="1:14">
      <c r="A72" s="253" t="s">
        <v>56</v>
      </c>
      <c r="B72" s="254" t="s">
        <v>620</v>
      </c>
      <c r="C72" s="253"/>
      <c r="D72" s="255"/>
      <c r="E72" s="345"/>
      <c r="F72" s="350">
        <f>SUM(F73:F79)+0.02</f>
        <v>62677.392926</v>
      </c>
      <c r="G72" s="288"/>
      <c r="H72" s="353"/>
      <c r="I72" s="260"/>
      <c r="J72" s="252"/>
      <c r="K72" s="249"/>
      <c r="L72" s="249"/>
      <c r="M72" s="249"/>
      <c r="N72" s="302"/>
    </row>
    <row r="73" spans="1:14" ht="38.25">
      <c r="A73" s="247" t="s">
        <v>58</v>
      </c>
      <c r="B73" s="246" t="s">
        <v>621</v>
      </c>
      <c r="C73" s="247" t="s">
        <v>8</v>
      </c>
      <c r="D73" s="248">
        <v>113.89</v>
      </c>
      <c r="E73" s="248">
        <v>20.769300000000001</v>
      </c>
      <c r="F73" s="252">
        <f t="shared" si="7"/>
        <v>2365.4155770000002</v>
      </c>
      <c r="G73" s="288"/>
      <c r="H73" s="353"/>
      <c r="I73" s="260"/>
      <c r="J73" s="252"/>
      <c r="K73" s="249"/>
      <c r="L73" s="249"/>
      <c r="M73" s="249"/>
      <c r="N73" s="302"/>
    </row>
    <row r="74" spans="1:14" ht="38.25">
      <c r="A74" s="247" t="s">
        <v>622</v>
      </c>
      <c r="B74" s="250" t="s">
        <v>623</v>
      </c>
      <c r="C74" s="247" t="s">
        <v>570</v>
      </c>
      <c r="D74" s="248">
        <v>3.3</v>
      </c>
      <c r="E74" s="248">
        <v>18.373999999999999</v>
      </c>
      <c r="F74" s="252">
        <f t="shared" si="7"/>
        <v>60.634199999999993</v>
      </c>
      <c r="G74" s="288"/>
      <c r="H74" s="353"/>
      <c r="I74" s="260"/>
      <c r="J74" s="252"/>
      <c r="K74" s="249"/>
      <c r="L74" s="249"/>
      <c r="M74" s="249"/>
      <c r="N74" s="302"/>
    </row>
    <row r="75" spans="1:14" ht="38.25">
      <c r="A75" s="247" t="s">
        <v>624</v>
      </c>
      <c r="B75" s="250" t="s">
        <v>625</v>
      </c>
      <c r="C75" s="247" t="s">
        <v>570</v>
      </c>
      <c r="D75" s="248">
        <v>922.6</v>
      </c>
      <c r="E75" s="248">
        <v>16.759550000000001</v>
      </c>
      <c r="F75" s="252">
        <f t="shared" si="7"/>
        <v>15462.360830000001</v>
      </c>
      <c r="G75" s="288"/>
      <c r="H75" s="353"/>
      <c r="I75" s="260"/>
      <c r="J75" s="252"/>
      <c r="K75" s="249"/>
      <c r="L75" s="249"/>
      <c r="M75" s="249"/>
      <c r="N75" s="302"/>
    </row>
    <row r="76" spans="1:14" ht="38.25">
      <c r="A76" s="247" t="s">
        <v>626</v>
      </c>
      <c r="B76" s="250" t="s">
        <v>627</v>
      </c>
      <c r="C76" s="247" t="s">
        <v>570</v>
      </c>
      <c r="D76" s="248">
        <v>159.30000000000001</v>
      </c>
      <c r="E76" s="248">
        <v>14.297750000000001</v>
      </c>
      <c r="F76" s="252">
        <f t="shared" si="7"/>
        <v>2277.6315750000003</v>
      </c>
      <c r="G76" s="288"/>
      <c r="H76" s="353"/>
      <c r="I76" s="260"/>
      <c r="J76" s="252"/>
      <c r="K76" s="249"/>
      <c r="L76" s="249"/>
      <c r="M76" s="249"/>
      <c r="N76" s="302"/>
    </row>
    <row r="77" spans="1:14" ht="25.5">
      <c r="A77" s="247" t="s">
        <v>628</v>
      </c>
      <c r="B77" s="246" t="s">
        <v>605</v>
      </c>
      <c r="C77" s="247" t="s">
        <v>23</v>
      </c>
      <c r="D77" s="248">
        <v>28.04</v>
      </c>
      <c r="E77" s="248">
        <v>396.33800000000002</v>
      </c>
      <c r="F77" s="252">
        <f t="shared" si="7"/>
        <v>11113.317520000001</v>
      </c>
      <c r="G77" s="288"/>
      <c r="H77" s="353"/>
      <c r="I77" s="260"/>
      <c r="J77" s="252"/>
      <c r="K77" s="249"/>
      <c r="L77" s="249"/>
      <c r="M77" s="249"/>
      <c r="N77" s="302"/>
    </row>
    <row r="78" spans="1:14" ht="25.5">
      <c r="A78" s="247" t="s">
        <v>629</v>
      </c>
      <c r="B78" s="246" t="s">
        <v>579</v>
      </c>
      <c r="C78" s="247" t="s">
        <v>23</v>
      </c>
      <c r="D78" s="248">
        <v>28.04</v>
      </c>
      <c r="E78" s="248">
        <v>153.95349999999999</v>
      </c>
      <c r="F78" s="252">
        <f t="shared" si="7"/>
        <v>4316.8561399999999</v>
      </c>
      <c r="G78" s="288"/>
      <c r="H78" s="353"/>
      <c r="I78" s="260"/>
      <c r="J78" s="252"/>
      <c r="K78" s="249"/>
      <c r="L78" s="249"/>
      <c r="M78" s="249"/>
      <c r="N78" s="302"/>
    </row>
    <row r="79" spans="1:14" ht="38.25">
      <c r="A79" s="247" t="s">
        <v>630</v>
      </c>
      <c r="B79" s="246" t="s">
        <v>631</v>
      </c>
      <c r="C79" s="247" t="s">
        <v>8</v>
      </c>
      <c r="D79" s="248">
        <v>345.56</v>
      </c>
      <c r="E79" s="248">
        <v>78.368899999999996</v>
      </c>
      <c r="F79" s="252">
        <f t="shared" si="7"/>
        <v>27081.157083999999</v>
      </c>
      <c r="G79" s="288"/>
      <c r="H79" s="353"/>
      <c r="I79" s="260"/>
      <c r="J79" s="252"/>
      <c r="K79" s="249"/>
      <c r="L79" s="249"/>
      <c r="M79" s="249"/>
      <c r="N79" s="302"/>
    </row>
    <row r="80" spans="1:14">
      <c r="A80" s="253" t="s">
        <v>632</v>
      </c>
      <c r="B80" s="254" t="s">
        <v>633</v>
      </c>
      <c r="C80" s="253"/>
      <c r="D80" s="255"/>
      <c r="E80" s="345"/>
      <c r="F80" s="350">
        <f>SUM(F81:F84)</f>
        <v>7629.2276000000002</v>
      </c>
      <c r="G80" s="288"/>
      <c r="H80" s="353"/>
      <c r="I80" s="260"/>
      <c r="J80" s="252"/>
      <c r="K80" s="249"/>
      <c r="L80" s="249"/>
      <c r="M80" s="249"/>
      <c r="N80" s="302"/>
    </row>
    <row r="81" spans="1:14">
      <c r="A81" s="247" t="s">
        <v>634</v>
      </c>
      <c r="B81" s="246" t="s">
        <v>635</v>
      </c>
      <c r="C81" s="247" t="s">
        <v>105</v>
      </c>
      <c r="D81" s="248">
        <v>68.5</v>
      </c>
      <c r="E81" s="248">
        <v>44.204799999999999</v>
      </c>
      <c r="F81" s="252">
        <f t="shared" si="7"/>
        <v>3028.0288</v>
      </c>
      <c r="G81" s="288"/>
      <c r="H81" s="353"/>
      <c r="I81" s="260"/>
      <c r="J81" s="252"/>
      <c r="K81" s="249"/>
      <c r="L81" s="249"/>
      <c r="M81" s="249"/>
      <c r="N81" s="302"/>
    </row>
    <row r="82" spans="1:14" ht="25.5">
      <c r="A82" s="247" t="s">
        <v>636</v>
      </c>
      <c r="B82" s="246" t="s">
        <v>637</v>
      </c>
      <c r="C82" s="247" t="s">
        <v>105</v>
      </c>
      <c r="D82" s="248">
        <v>36.6</v>
      </c>
      <c r="E82" s="248">
        <v>32.186</v>
      </c>
      <c r="F82" s="252">
        <f t="shared" si="7"/>
        <v>1178.0076000000001</v>
      </c>
      <c r="G82" s="288"/>
      <c r="H82" s="353"/>
      <c r="I82" s="260"/>
      <c r="J82" s="252"/>
      <c r="K82" s="249"/>
      <c r="L82" s="249"/>
      <c r="M82" s="249"/>
      <c r="N82" s="302"/>
    </row>
    <row r="83" spans="1:14" ht="25.5">
      <c r="A83" s="247" t="s">
        <v>638</v>
      </c>
      <c r="B83" s="246" t="s">
        <v>639</v>
      </c>
      <c r="C83" s="247" t="s">
        <v>105</v>
      </c>
      <c r="D83" s="248">
        <v>68.5</v>
      </c>
      <c r="E83" s="248">
        <v>43.3232</v>
      </c>
      <c r="F83" s="252">
        <f t="shared" si="7"/>
        <v>2967.6392000000001</v>
      </c>
      <c r="G83" s="288"/>
      <c r="H83" s="353"/>
      <c r="I83" s="260"/>
      <c r="J83" s="252"/>
      <c r="K83" s="249"/>
      <c r="L83" s="249"/>
      <c r="M83" s="249"/>
      <c r="N83" s="302"/>
    </row>
    <row r="84" spans="1:14" ht="25.5">
      <c r="A84" s="247" t="s">
        <v>640</v>
      </c>
      <c r="B84" s="246" t="s">
        <v>641</v>
      </c>
      <c r="C84" s="247" t="s">
        <v>105</v>
      </c>
      <c r="D84" s="248">
        <v>8</v>
      </c>
      <c r="E84" s="248">
        <v>56.944000000000003</v>
      </c>
      <c r="F84" s="252">
        <f t="shared" si="7"/>
        <v>455.55200000000002</v>
      </c>
      <c r="G84" s="288"/>
      <c r="H84" s="353"/>
      <c r="I84" s="260"/>
      <c r="J84" s="252"/>
      <c r="K84" s="249"/>
      <c r="L84" s="249"/>
      <c r="M84" s="249"/>
      <c r="N84" s="302"/>
    </row>
    <row r="85" spans="1:14">
      <c r="A85" s="520"/>
      <c r="B85" s="521"/>
      <c r="C85" s="521"/>
      <c r="D85" s="521"/>
      <c r="E85" s="521"/>
      <c r="F85" s="521"/>
      <c r="G85" s="521"/>
      <c r="H85" s="521"/>
      <c r="I85" s="521"/>
      <c r="J85" s="521"/>
      <c r="K85" s="521"/>
      <c r="L85" s="521"/>
      <c r="M85" s="522"/>
      <c r="N85" s="302"/>
    </row>
    <row r="86" spans="1:14" s="265" customFormat="1">
      <c r="A86" s="264" t="s">
        <v>642</v>
      </c>
      <c r="B86" s="514" t="s">
        <v>643</v>
      </c>
      <c r="C86" s="515"/>
      <c r="D86" s="515"/>
      <c r="E86" s="516"/>
      <c r="F86" s="268">
        <f>SUM(F87)</f>
        <v>42616.161815999993</v>
      </c>
      <c r="G86" s="287"/>
      <c r="H86" s="291"/>
      <c r="I86" s="278"/>
      <c r="J86" s="277"/>
      <c r="K86" s="266"/>
      <c r="L86" s="266">
        <f>SUM(L87:L88)</f>
        <v>0</v>
      </c>
      <c r="M86" s="266"/>
      <c r="N86" s="302"/>
    </row>
    <row r="87" spans="1:14" ht="51">
      <c r="A87" s="247" t="s">
        <v>644</v>
      </c>
      <c r="B87" s="250" t="s">
        <v>645</v>
      </c>
      <c r="C87" s="247" t="s">
        <v>8</v>
      </c>
      <c r="D87" s="248">
        <v>976.65</v>
      </c>
      <c r="E87" s="248">
        <v>43.635039999999996</v>
      </c>
      <c r="F87" s="252">
        <f>E87*D87</f>
        <v>42616.161815999993</v>
      </c>
      <c r="G87" s="288"/>
      <c r="H87" s="353"/>
      <c r="I87" s="260"/>
      <c r="J87" s="252"/>
      <c r="K87" s="249"/>
      <c r="L87" s="249"/>
      <c r="M87" s="249"/>
      <c r="N87" s="302"/>
    </row>
    <row r="88" spans="1:14">
      <c r="A88" s="520"/>
      <c r="B88" s="521"/>
      <c r="C88" s="521"/>
      <c r="D88" s="521"/>
      <c r="E88" s="521"/>
      <c r="F88" s="521"/>
      <c r="G88" s="521"/>
      <c r="H88" s="521"/>
      <c r="I88" s="521"/>
      <c r="J88" s="521"/>
      <c r="K88" s="521"/>
      <c r="L88" s="521"/>
      <c r="M88" s="522"/>
      <c r="N88" s="302"/>
    </row>
    <row r="89" spans="1:14" s="265" customFormat="1">
      <c r="A89" s="264" t="s">
        <v>546</v>
      </c>
      <c r="B89" s="514" t="s">
        <v>70</v>
      </c>
      <c r="C89" s="515"/>
      <c r="D89" s="515"/>
      <c r="E89" s="516"/>
      <c r="F89" s="268">
        <f>SUM(F90,F95,F98)+0.01</f>
        <v>61182.364652000004</v>
      </c>
      <c r="G89" s="287"/>
      <c r="H89" s="291"/>
      <c r="I89" s="278"/>
      <c r="J89" s="277"/>
      <c r="K89" s="266"/>
      <c r="L89" s="266">
        <f>SUM(L90:L100)</f>
        <v>0</v>
      </c>
      <c r="M89" s="266"/>
      <c r="N89" s="302"/>
    </row>
    <row r="90" spans="1:14">
      <c r="A90" s="253" t="s">
        <v>71</v>
      </c>
      <c r="B90" s="254" t="s">
        <v>646</v>
      </c>
      <c r="C90" s="253"/>
      <c r="D90" s="255"/>
      <c r="E90" s="345"/>
      <c r="F90" s="351">
        <f>SUM(F91:F94)+0.01</f>
        <v>36105.598483000002</v>
      </c>
      <c r="G90" s="288"/>
      <c r="H90" s="292"/>
      <c r="I90" s="260"/>
      <c r="J90" s="276"/>
      <c r="K90" s="249"/>
      <c r="L90" s="249"/>
      <c r="M90" s="249"/>
      <c r="N90" s="302"/>
    </row>
    <row r="91" spans="1:14" ht="25.5">
      <c r="A91" s="247" t="s">
        <v>647</v>
      </c>
      <c r="B91" s="250" t="s">
        <v>648</v>
      </c>
      <c r="C91" s="247" t="s">
        <v>8</v>
      </c>
      <c r="D91" s="248">
        <v>9.24</v>
      </c>
      <c r="E91" s="248">
        <v>365.47399999999999</v>
      </c>
      <c r="F91" s="252">
        <f t="shared" ref="F91:F99" si="8">E91*D91</f>
        <v>3376.9797600000002</v>
      </c>
      <c r="G91" s="288"/>
      <c r="H91" s="353"/>
      <c r="I91" s="260"/>
      <c r="J91" s="252"/>
      <c r="K91" s="249"/>
      <c r="L91" s="249"/>
      <c r="M91" s="249"/>
      <c r="N91" s="302"/>
    </row>
    <row r="92" spans="1:14" ht="51">
      <c r="A92" s="247" t="s">
        <v>649</v>
      </c>
      <c r="B92" s="250" t="s">
        <v>650</v>
      </c>
      <c r="C92" s="247" t="s">
        <v>8</v>
      </c>
      <c r="D92" s="248">
        <v>340.05</v>
      </c>
      <c r="E92" s="248">
        <v>19.877109999999998</v>
      </c>
      <c r="F92" s="252">
        <f t="shared" si="8"/>
        <v>6759.2112554999994</v>
      </c>
      <c r="G92" s="288"/>
      <c r="H92" s="353"/>
      <c r="I92" s="260"/>
      <c r="J92" s="252"/>
      <c r="K92" s="249"/>
      <c r="L92" s="249"/>
      <c r="M92" s="249"/>
      <c r="N92" s="302"/>
    </row>
    <row r="93" spans="1:14" ht="38.25">
      <c r="A93" s="247" t="s">
        <v>651</v>
      </c>
      <c r="B93" s="246" t="s">
        <v>652</v>
      </c>
      <c r="C93" s="247" t="s">
        <v>8</v>
      </c>
      <c r="D93" s="248">
        <v>340.05</v>
      </c>
      <c r="E93" s="248">
        <v>14.85675</v>
      </c>
      <c r="F93" s="252">
        <f t="shared" si="8"/>
        <v>5052.0378375</v>
      </c>
      <c r="G93" s="288"/>
      <c r="H93" s="353"/>
      <c r="I93" s="260"/>
      <c r="J93" s="252"/>
      <c r="K93" s="249"/>
      <c r="L93" s="249"/>
      <c r="M93" s="249"/>
      <c r="N93" s="302"/>
    </row>
    <row r="94" spans="1:14" ht="38.25">
      <c r="A94" s="247" t="s">
        <v>653</v>
      </c>
      <c r="B94" s="246" t="s">
        <v>654</v>
      </c>
      <c r="C94" s="247" t="s">
        <v>8</v>
      </c>
      <c r="D94" s="248">
        <v>340.05</v>
      </c>
      <c r="E94" s="248">
        <v>61.512599999999999</v>
      </c>
      <c r="F94" s="252">
        <f t="shared" si="8"/>
        <v>20917.359629999999</v>
      </c>
      <c r="G94" s="288"/>
      <c r="H94" s="353"/>
      <c r="I94" s="260"/>
      <c r="J94" s="252"/>
      <c r="K94" s="249"/>
      <c r="L94" s="249"/>
      <c r="M94" s="249"/>
      <c r="N94" s="302"/>
    </row>
    <row r="95" spans="1:14">
      <c r="A95" s="253" t="s">
        <v>73</v>
      </c>
      <c r="B95" s="254" t="s">
        <v>655</v>
      </c>
      <c r="C95" s="253"/>
      <c r="D95" s="255"/>
      <c r="E95" s="345"/>
      <c r="F95" s="350">
        <f>SUM(F96:F97)-0.01</f>
        <v>12505.331349999999</v>
      </c>
      <c r="G95" s="288"/>
      <c r="H95" s="353"/>
      <c r="I95" s="260"/>
      <c r="J95" s="252"/>
      <c r="K95" s="249"/>
      <c r="L95" s="249"/>
      <c r="M95" s="249"/>
      <c r="N95" s="302"/>
    </row>
    <row r="96" spans="1:14" ht="25.5">
      <c r="A96" s="247" t="s">
        <v>656</v>
      </c>
      <c r="B96" s="250" t="s">
        <v>657</v>
      </c>
      <c r="C96" s="247" t="s">
        <v>105</v>
      </c>
      <c r="D96" s="248">
        <v>135.9</v>
      </c>
      <c r="E96" s="248">
        <v>53.869250000000001</v>
      </c>
      <c r="F96" s="252">
        <f t="shared" si="8"/>
        <v>7320.8310750000001</v>
      </c>
      <c r="G96" s="288"/>
      <c r="H96" s="353"/>
      <c r="I96" s="260"/>
      <c r="J96" s="252"/>
      <c r="K96" s="249"/>
      <c r="L96" s="249"/>
      <c r="M96" s="249"/>
      <c r="N96" s="302"/>
    </row>
    <row r="97" spans="1:14" ht="25.5">
      <c r="A97" s="247" t="s">
        <v>658</v>
      </c>
      <c r="B97" s="246" t="s">
        <v>659</v>
      </c>
      <c r="C97" s="247" t="s">
        <v>105</v>
      </c>
      <c r="D97" s="248">
        <v>78.05</v>
      </c>
      <c r="E97" s="248">
        <v>66.4255</v>
      </c>
      <c r="F97" s="252">
        <f t="shared" si="8"/>
        <v>5184.5102749999996</v>
      </c>
      <c r="G97" s="288"/>
      <c r="H97" s="353"/>
      <c r="I97" s="260"/>
      <c r="J97" s="252"/>
      <c r="K97" s="249"/>
      <c r="L97" s="249"/>
      <c r="M97" s="249"/>
      <c r="N97" s="302"/>
    </row>
    <row r="98" spans="1:14">
      <c r="A98" s="253" t="s">
        <v>548</v>
      </c>
      <c r="B98" s="254" t="s">
        <v>660</v>
      </c>
      <c r="C98" s="253"/>
      <c r="D98" s="255"/>
      <c r="E98" s="345"/>
      <c r="F98" s="350">
        <f>F99</f>
        <v>12571.424819</v>
      </c>
      <c r="G98" s="288"/>
      <c r="H98" s="353"/>
      <c r="I98" s="260"/>
      <c r="J98" s="252"/>
      <c r="K98" s="249"/>
      <c r="L98" s="249"/>
      <c r="M98" s="249"/>
      <c r="N98" s="302"/>
    </row>
    <row r="99" spans="1:14" ht="25.5">
      <c r="A99" s="247" t="s">
        <v>661</v>
      </c>
      <c r="B99" s="250" t="s">
        <v>662</v>
      </c>
      <c r="C99" s="247" t="s">
        <v>8</v>
      </c>
      <c r="D99" s="248">
        <v>383.54</v>
      </c>
      <c r="E99" s="248">
        <v>32.777349999999998</v>
      </c>
      <c r="F99" s="252">
        <f t="shared" si="8"/>
        <v>12571.424819</v>
      </c>
      <c r="G99" s="288"/>
      <c r="H99" s="353"/>
      <c r="I99" s="260"/>
      <c r="J99" s="252"/>
      <c r="K99" s="249"/>
      <c r="L99" s="249"/>
      <c r="M99" s="249"/>
      <c r="N99" s="302"/>
    </row>
    <row r="100" spans="1:14">
      <c r="A100" s="520"/>
      <c r="B100" s="521"/>
      <c r="C100" s="521"/>
      <c r="D100" s="521"/>
      <c r="E100" s="521"/>
      <c r="F100" s="521"/>
      <c r="G100" s="521"/>
      <c r="H100" s="521"/>
      <c r="I100" s="521"/>
      <c r="J100" s="521"/>
      <c r="K100" s="521"/>
      <c r="L100" s="521"/>
      <c r="M100" s="522"/>
      <c r="N100" s="302"/>
    </row>
    <row r="101" spans="1:14" s="383" customFormat="1">
      <c r="A101" s="264" t="s">
        <v>549</v>
      </c>
      <c r="B101" s="514" t="s">
        <v>663</v>
      </c>
      <c r="C101" s="515"/>
      <c r="D101" s="515"/>
      <c r="E101" s="516"/>
      <c r="F101" s="268">
        <f>SUM(F102:F103)+0.01</f>
        <v>8449.6111304999995</v>
      </c>
      <c r="G101" s="379"/>
      <c r="H101" s="380"/>
      <c r="I101" s="378"/>
      <c r="J101" s="381"/>
      <c r="K101" s="382">
        <f>K102</f>
        <v>545.92452749999984</v>
      </c>
      <c r="L101" s="367">
        <f>L102</f>
        <v>1163.7703769999998</v>
      </c>
      <c r="M101" s="367">
        <f>M102</f>
        <v>1709.6949044999997</v>
      </c>
      <c r="N101" s="376">
        <f>N102</f>
        <v>534.22500000000002</v>
      </c>
    </row>
    <row r="102" spans="1:14" ht="25.5">
      <c r="A102" s="247" t="s">
        <v>76</v>
      </c>
      <c r="B102" s="246" t="s">
        <v>905</v>
      </c>
      <c r="C102" s="247" t="s">
        <v>8</v>
      </c>
      <c r="D102" s="248">
        <v>401.27</v>
      </c>
      <c r="E102" s="248">
        <v>8.6861499999999996</v>
      </c>
      <c r="F102" s="252">
        <f>E102*D102</f>
        <v>3485.4914104999998</v>
      </c>
      <c r="G102" s="288">
        <f>'MEMÓRIA DE CÁLCULO'!R207</f>
        <v>62.849999999999987</v>
      </c>
      <c r="H102" s="353">
        <v>133.97999999999999</v>
      </c>
      <c r="I102" s="377">
        <f>G102+H102</f>
        <v>196.82999999999998</v>
      </c>
      <c r="J102" s="252"/>
      <c r="K102" s="249">
        <f>E102*G102</f>
        <v>545.92452749999984</v>
      </c>
      <c r="L102" s="366">
        <f>E102*H102</f>
        <v>1163.7703769999998</v>
      </c>
      <c r="M102" s="366">
        <f>K102+L102</f>
        <v>1709.6949044999997</v>
      </c>
      <c r="N102" s="302">
        <f>8.5*62.85</f>
        <v>534.22500000000002</v>
      </c>
    </row>
    <row r="103" spans="1:14" ht="25.5">
      <c r="A103" s="247" t="s">
        <v>79</v>
      </c>
      <c r="B103" s="246" t="s">
        <v>664</v>
      </c>
      <c r="C103" s="247" t="s">
        <v>8</v>
      </c>
      <c r="D103" s="248">
        <v>61.8</v>
      </c>
      <c r="E103" s="248">
        <v>80.325400000000002</v>
      </c>
      <c r="F103" s="252">
        <f>E103*D103</f>
        <v>4964.1097199999995</v>
      </c>
      <c r="G103" s="288"/>
      <c r="H103" s="353"/>
      <c r="I103" s="260"/>
      <c r="J103" s="252"/>
      <c r="K103" s="249"/>
      <c r="L103" s="249"/>
      <c r="M103" s="249"/>
      <c r="N103" s="302"/>
    </row>
    <row r="104" spans="1:14">
      <c r="A104" s="520"/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21"/>
      <c r="M104" s="522"/>
      <c r="N104" s="302"/>
    </row>
    <row r="105" spans="1:14" s="265" customFormat="1">
      <c r="A105" s="264" t="s">
        <v>550</v>
      </c>
      <c r="B105" s="514" t="s">
        <v>75</v>
      </c>
      <c r="C105" s="515"/>
      <c r="D105" s="515"/>
      <c r="E105" s="516"/>
      <c r="F105" s="268">
        <f>SUM(F106,F115)</f>
        <v>64275.949280000001</v>
      </c>
      <c r="G105" s="287"/>
      <c r="H105" s="291"/>
      <c r="I105" s="278"/>
      <c r="J105" s="277"/>
      <c r="K105" s="266"/>
      <c r="L105" s="266">
        <f>SUM(L106:L118)</f>
        <v>0</v>
      </c>
      <c r="M105" s="266"/>
      <c r="N105" s="302"/>
    </row>
    <row r="106" spans="1:14">
      <c r="A106" s="253" t="s">
        <v>86</v>
      </c>
      <c r="B106" s="254" t="s">
        <v>665</v>
      </c>
      <c r="C106" s="253"/>
      <c r="D106" s="255"/>
      <c r="E106" s="345"/>
      <c r="F106" s="351">
        <f>SUM(F107:F114)-0.01</f>
        <v>37579.457119999999</v>
      </c>
      <c r="G106" s="288"/>
      <c r="H106" s="292"/>
      <c r="I106" s="260"/>
      <c r="J106" s="276"/>
      <c r="K106" s="249"/>
      <c r="L106" s="249"/>
      <c r="M106" s="249"/>
      <c r="N106" s="302"/>
    </row>
    <row r="107" spans="1:14" ht="25.5">
      <c r="A107" s="247" t="s">
        <v>666</v>
      </c>
      <c r="B107" s="250" t="s">
        <v>667</v>
      </c>
      <c r="C107" s="247" t="s">
        <v>8</v>
      </c>
      <c r="D107" s="248">
        <v>8.19</v>
      </c>
      <c r="E107" s="248">
        <v>598.07600000000002</v>
      </c>
      <c r="F107" s="252">
        <f t="shared" ref="F107:F117" si="9">E107*D107</f>
        <v>4898.24244</v>
      </c>
      <c r="G107" s="288"/>
      <c r="H107" s="353"/>
      <c r="I107" s="260"/>
      <c r="J107" s="252"/>
      <c r="K107" s="249"/>
      <c r="L107" s="249"/>
      <c r="M107" s="249"/>
      <c r="N107" s="302"/>
    </row>
    <row r="108" spans="1:14" ht="25.5">
      <c r="A108" s="247" t="s">
        <v>668</v>
      </c>
      <c r="B108" s="250" t="s">
        <v>669</v>
      </c>
      <c r="C108" s="247" t="s">
        <v>8</v>
      </c>
      <c r="D108" s="248">
        <v>11.34</v>
      </c>
      <c r="E108" s="248">
        <v>504.09800000000001</v>
      </c>
      <c r="F108" s="252">
        <f t="shared" si="9"/>
        <v>5716.4713199999997</v>
      </c>
      <c r="G108" s="288"/>
      <c r="H108" s="353"/>
      <c r="I108" s="260"/>
      <c r="J108" s="252"/>
      <c r="K108" s="249"/>
      <c r="L108" s="249"/>
      <c r="M108" s="249"/>
      <c r="N108" s="302"/>
    </row>
    <row r="109" spans="1:14" ht="25.5">
      <c r="A109" s="247" t="s">
        <v>670</v>
      </c>
      <c r="B109" s="250" t="s">
        <v>671</v>
      </c>
      <c r="C109" s="247" t="s">
        <v>8</v>
      </c>
      <c r="D109" s="248">
        <v>6.12</v>
      </c>
      <c r="E109" s="248">
        <v>426.428</v>
      </c>
      <c r="F109" s="252">
        <f t="shared" si="9"/>
        <v>2609.73936</v>
      </c>
      <c r="G109" s="288"/>
      <c r="H109" s="353"/>
      <c r="I109" s="260"/>
      <c r="J109" s="252"/>
      <c r="K109" s="249"/>
      <c r="L109" s="249"/>
      <c r="M109" s="249"/>
      <c r="N109" s="302"/>
    </row>
    <row r="110" spans="1:14" ht="51">
      <c r="A110" s="247" t="s">
        <v>672</v>
      </c>
      <c r="B110" s="250" t="s">
        <v>673</v>
      </c>
      <c r="C110" s="247" t="s">
        <v>78</v>
      </c>
      <c r="D110" s="248">
        <v>4</v>
      </c>
      <c r="E110" s="248">
        <v>762.85599999999999</v>
      </c>
      <c r="F110" s="252">
        <f t="shared" si="9"/>
        <v>3051.424</v>
      </c>
      <c r="G110" s="288"/>
      <c r="H110" s="353"/>
      <c r="I110" s="260"/>
      <c r="J110" s="252"/>
      <c r="K110" s="249"/>
      <c r="L110" s="249"/>
      <c r="M110" s="249"/>
      <c r="N110" s="302"/>
    </row>
    <row r="111" spans="1:14" ht="51">
      <c r="A111" s="247" t="s">
        <v>674</v>
      </c>
      <c r="B111" s="250" t="s">
        <v>675</v>
      </c>
      <c r="C111" s="247" t="s">
        <v>78</v>
      </c>
      <c r="D111" s="248">
        <v>4</v>
      </c>
      <c r="E111" s="248">
        <v>799.38400000000001</v>
      </c>
      <c r="F111" s="252">
        <f t="shared" si="9"/>
        <v>3197.5360000000001</v>
      </c>
      <c r="G111" s="288"/>
      <c r="H111" s="353"/>
      <c r="I111" s="260"/>
      <c r="J111" s="252"/>
      <c r="K111" s="249"/>
      <c r="L111" s="249"/>
      <c r="M111" s="249"/>
      <c r="N111" s="302"/>
    </row>
    <row r="112" spans="1:14" ht="51">
      <c r="A112" s="247" t="s">
        <v>676</v>
      </c>
      <c r="B112" s="250" t="s">
        <v>677</v>
      </c>
      <c r="C112" s="247" t="s">
        <v>78</v>
      </c>
      <c r="D112" s="248">
        <v>17</v>
      </c>
      <c r="E112" s="248">
        <v>849.64200000000005</v>
      </c>
      <c r="F112" s="252">
        <f t="shared" si="9"/>
        <v>14443.914000000001</v>
      </c>
      <c r="G112" s="288"/>
      <c r="H112" s="353"/>
      <c r="I112" s="260"/>
      <c r="J112" s="252"/>
      <c r="K112" s="249"/>
      <c r="L112" s="249"/>
      <c r="M112" s="249"/>
      <c r="N112" s="302"/>
    </row>
    <row r="113" spans="1:14" ht="25.5">
      <c r="A113" s="247" t="s">
        <v>678</v>
      </c>
      <c r="B113" s="250" t="s">
        <v>679</v>
      </c>
      <c r="C113" s="247" t="s">
        <v>78</v>
      </c>
      <c r="D113" s="248">
        <v>2</v>
      </c>
      <c r="E113" s="248">
        <v>914.41</v>
      </c>
      <c r="F113" s="252">
        <f t="shared" si="9"/>
        <v>1828.82</v>
      </c>
      <c r="G113" s="288"/>
      <c r="H113" s="353"/>
      <c r="I113" s="260"/>
      <c r="J113" s="252"/>
      <c r="K113" s="249"/>
      <c r="L113" s="249"/>
      <c r="M113" s="249"/>
      <c r="N113" s="302"/>
    </row>
    <row r="114" spans="1:14" ht="25.5">
      <c r="A114" s="247" t="s">
        <v>680</v>
      </c>
      <c r="B114" s="250" t="s">
        <v>681</v>
      </c>
      <c r="C114" s="247" t="s">
        <v>78</v>
      </c>
      <c r="D114" s="248">
        <v>2</v>
      </c>
      <c r="E114" s="248">
        <v>916.66</v>
      </c>
      <c r="F114" s="252">
        <f t="shared" si="9"/>
        <v>1833.32</v>
      </c>
      <c r="G114" s="288"/>
      <c r="H114" s="353"/>
      <c r="I114" s="260"/>
      <c r="J114" s="252"/>
      <c r="K114" s="249"/>
      <c r="L114" s="249"/>
      <c r="M114" s="249"/>
      <c r="N114" s="302"/>
    </row>
    <row r="115" spans="1:14">
      <c r="A115" s="253" t="s">
        <v>88</v>
      </c>
      <c r="B115" s="254" t="s">
        <v>682</v>
      </c>
      <c r="C115" s="253"/>
      <c r="D115" s="255"/>
      <c r="E115" s="345"/>
      <c r="F115" s="350">
        <f>SUM(F116:F117)</f>
        <v>26696.492159999998</v>
      </c>
      <c r="G115" s="288"/>
      <c r="H115" s="353"/>
      <c r="I115" s="260"/>
      <c r="J115" s="252"/>
      <c r="K115" s="249"/>
      <c r="L115" s="249"/>
      <c r="M115" s="249"/>
      <c r="N115" s="302"/>
    </row>
    <row r="116" spans="1:14" ht="25.5">
      <c r="A116" s="247" t="s">
        <v>683</v>
      </c>
      <c r="B116" s="250" t="s">
        <v>684</v>
      </c>
      <c r="C116" s="258" t="s">
        <v>8</v>
      </c>
      <c r="D116" s="248">
        <v>52.8</v>
      </c>
      <c r="E116" s="248">
        <v>493.7672</v>
      </c>
      <c r="F116" s="252">
        <f t="shared" si="9"/>
        <v>26070.908159999999</v>
      </c>
      <c r="G116" s="288"/>
      <c r="H116" s="353"/>
      <c r="I116" s="260"/>
      <c r="J116" s="252"/>
      <c r="K116" s="249"/>
      <c r="L116" s="249"/>
      <c r="M116" s="249"/>
      <c r="N116" s="302"/>
    </row>
    <row r="117" spans="1:14" ht="25.5">
      <c r="A117" s="247" t="s">
        <v>685</v>
      </c>
      <c r="B117" s="250" t="s">
        <v>686</v>
      </c>
      <c r="C117" s="258" t="s">
        <v>8</v>
      </c>
      <c r="D117" s="248">
        <v>0.8</v>
      </c>
      <c r="E117" s="248">
        <v>781.98</v>
      </c>
      <c r="F117" s="252">
        <f t="shared" si="9"/>
        <v>625.58400000000006</v>
      </c>
      <c r="G117" s="288"/>
      <c r="H117" s="353"/>
      <c r="I117" s="260"/>
      <c r="J117" s="252"/>
      <c r="K117" s="249"/>
      <c r="L117" s="249"/>
      <c r="M117" s="249"/>
      <c r="N117" s="302"/>
    </row>
    <row r="118" spans="1:14">
      <c r="A118" s="520"/>
      <c r="B118" s="521"/>
      <c r="C118" s="521"/>
      <c r="D118" s="521"/>
      <c r="E118" s="521"/>
      <c r="F118" s="521"/>
      <c r="G118" s="521"/>
      <c r="H118" s="521"/>
      <c r="I118" s="521"/>
      <c r="J118" s="521"/>
      <c r="K118" s="521"/>
      <c r="L118" s="521"/>
      <c r="M118" s="522"/>
      <c r="N118" s="302"/>
    </row>
    <row r="119" spans="1:14" s="265" customFormat="1">
      <c r="A119" s="264" t="s">
        <v>551</v>
      </c>
      <c r="B119" s="514" t="s">
        <v>125</v>
      </c>
      <c r="C119" s="515"/>
      <c r="D119" s="515"/>
      <c r="E119" s="516"/>
      <c r="F119" s="268">
        <f>SUM(F120:F155)-0.03</f>
        <v>10352.645133</v>
      </c>
      <c r="G119" s="287"/>
      <c r="H119" s="291"/>
      <c r="I119" s="278"/>
      <c r="J119" s="277"/>
      <c r="K119" s="266"/>
      <c r="L119" s="266">
        <f>SUM(L120:L156)</f>
        <v>0</v>
      </c>
      <c r="M119" s="266"/>
      <c r="N119" s="302"/>
    </row>
    <row r="120" spans="1:14">
      <c r="A120" s="247" t="s">
        <v>97</v>
      </c>
      <c r="B120" s="250" t="s">
        <v>687</v>
      </c>
      <c r="C120" s="258" t="s">
        <v>78</v>
      </c>
      <c r="D120" s="248">
        <v>1</v>
      </c>
      <c r="E120" s="248">
        <v>2978.07</v>
      </c>
      <c r="F120" s="252">
        <f t="shared" ref="F120:F155" si="10">E120*D120</f>
        <v>2978.07</v>
      </c>
      <c r="G120" s="288"/>
      <c r="H120" s="353"/>
      <c r="I120" s="260"/>
      <c r="J120" s="252"/>
      <c r="K120" s="249"/>
      <c r="L120" s="249"/>
      <c r="M120" s="249"/>
      <c r="N120" s="302"/>
    </row>
    <row r="121" spans="1:14" ht="51">
      <c r="A121" s="247" t="s">
        <v>99</v>
      </c>
      <c r="B121" s="250" t="s">
        <v>688</v>
      </c>
      <c r="C121" s="258" t="s">
        <v>78</v>
      </c>
      <c r="D121" s="248">
        <v>2</v>
      </c>
      <c r="E121" s="248">
        <v>42.216000000000001</v>
      </c>
      <c r="F121" s="252">
        <f t="shared" si="10"/>
        <v>84.432000000000002</v>
      </c>
      <c r="G121" s="288"/>
      <c r="H121" s="353"/>
      <c r="I121" s="260"/>
      <c r="J121" s="252"/>
      <c r="K121" s="249"/>
      <c r="L121" s="249"/>
      <c r="M121" s="249"/>
      <c r="N121" s="302"/>
    </row>
    <row r="122" spans="1:14" ht="51">
      <c r="A122" s="247" t="s">
        <v>101</v>
      </c>
      <c r="B122" s="250" t="s">
        <v>689</v>
      </c>
      <c r="C122" s="258" t="s">
        <v>78</v>
      </c>
      <c r="D122" s="248">
        <v>1</v>
      </c>
      <c r="E122" s="248">
        <v>20.14</v>
      </c>
      <c r="F122" s="252">
        <f t="shared" si="10"/>
        <v>20.14</v>
      </c>
      <c r="G122" s="288"/>
      <c r="H122" s="353"/>
      <c r="I122" s="260"/>
      <c r="J122" s="252"/>
      <c r="K122" s="249"/>
      <c r="L122" s="249"/>
      <c r="M122" s="249"/>
      <c r="N122" s="302"/>
    </row>
    <row r="123" spans="1:14" ht="51">
      <c r="A123" s="247" t="s">
        <v>103</v>
      </c>
      <c r="B123" s="250" t="s">
        <v>690</v>
      </c>
      <c r="C123" s="258" t="s">
        <v>78</v>
      </c>
      <c r="D123" s="248">
        <v>3</v>
      </c>
      <c r="E123" s="248">
        <v>4.8499999999999996</v>
      </c>
      <c r="F123" s="252">
        <f t="shared" si="10"/>
        <v>14.549999999999999</v>
      </c>
      <c r="G123" s="288"/>
      <c r="H123" s="353"/>
      <c r="I123" s="260"/>
      <c r="J123" s="252"/>
      <c r="K123" s="249"/>
      <c r="L123" s="249"/>
      <c r="M123" s="249"/>
      <c r="N123" s="302"/>
    </row>
    <row r="124" spans="1:14">
      <c r="A124" s="247" t="s">
        <v>106</v>
      </c>
      <c r="B124" s="250" t="s">
        <v>691</v>
      </c>
      <c r="C124" s="258" t="s">
        <v>78</v>
      </c>
      <c r="D124" s="248">
        <v>1</v>
      </c>
      <c r="E124" s="248">
        <v>35.74</v>
      </c>
      <c r="F124" s="252">
        <f t="shared" si="10"/>
        <v>35.74</v>
      </c>
      <c r="G124" s="288"/>
      <c r="H124" s="353"/>
      <c r="I124" s="260"/>
      <c r="J124" s="252"/>
      <c r="K124" s="249"/>
      <c r="L124" s="249"/>
      <c r="M124" s="249"/>
      <c r="N124" s="302"/>
    </row>
    <row r="125" spans="1:14" ht="25.5">
      <c r="A125" s="247" t="s">
        <v>692</v>
      </c>
      <c r="B125" s="250" t="s">
        <v>693</v>
      </c>
      <c r="C125" s="258" t="s">
        <v>78</v>
      </c>
      <c r="D125" s="248">
        <v>28</v>
      </c>
      <c r="E125" s="248">
        <v>6.633</v>
      </c>
      <c r="F125" s="252">
        <f t="shared" si="10"/>
        <v>185.72399999999999</v>
      </c>
      <c r="G125" s="288"/>
      <c r="H125" s="353"/>
      <c r="I125" s="260"/>
      <c r="J125" s="252"/>
      <c r="K125" s="249"/>
      <c r="L125" s="249"/>
      <c r="M125" s="249"/>
      <c r="N125" s="302"/>
    </row>
    <row r="126" spans="1:14" ht="38.25">
      <c r="A126" s="247" t="s">
        <v>694</v>
      </c>
      <c r="B126" s="250" t="s">
        <v>695</v>
      </c>
      <c r="C126" s="258" t="s">
        <v>78</v>
      </c>
      <c r="D126" s="248">
        <v>26</v>
      </c>
      <c r="E126" s="248">
        <v>13.6205</v>
      </c>
      <c r="F126" s="252">
        <f t="shared" si="10"/>
        <v>354.13299999999998</v>
      </c>
      <c r="G126" s="288"/>
      <c r="H126" s="353"/>
      <c r="I126" s="260"/>
      <c r="J126" s="252"/>
      <c r="K126" s="249"/>
      <c r="L126" s="249"/>
      <c r="M126" s="249"/>
      <c r="N126" s="302"/>
    </row>
    <row r="127" spans="1:14" ht="38.25">
      <c r="A127" s="247" t="s">
        <v>696</v>
      </c>
      <c r="B127" s="250" t="s">
        <v>697</v>
      </c>
      <c r="C127" s="258" t="s">
        <v>78</v>
      </c>
      <c r="D127" s="248">
        <v>1</v>
      </c>
      <c r="E127" s="248">
        <v>15.09</v>
      </c>
      <c r="F127" s="252">
        <f t="shared" si="10"/>
        <v>15.09</v>
      </c>
      <c r="G127" s="288"/>
      <c r="H127" s="353"/>
      <c r="I127" s="260"/>
      <c r="J127" s="252"/>
      <c r="K127" s="249"/>
      <c r="L127" s="249"/>
      <c r="M127" s="249"/>
      <c r="N127" s="302"/>
    </row>
    <row r="128" spans="1:14" ht="25.5">
      <c r="A128" s="247" t="s">
        <v>698</v>
      </c>
      <c r="B128" s="250" t="s">
        <v>699</v>
      </c>
      <c r="C128" s="258" t="s">
        <v>78</v>
      </c>
      <c r="D128" s="248">
        <v>1</v>
      </c>
      <c r="E128" s="248">
        <v>9.7200000000000006</v>
      </c>
      <c r="F128" s="252">
        <f t="shared" si="10"/>
        <v>9.7200000000000006</v>
      </c>
      <c r="G128" s="288"/>
      <c r="H128" s="353"/>
      <c r="I128" s="260"/>
      <c r="J128" s="252"/>
      <c r="K128" s="249"/>
      <c r="L128" s="249"/>
      <c r="M128" s="249"/>
      <c r="N128" s="302"/>
    </row>
    <row r="129" spans="1:14" ht="25.5">
      <c r="A129" s="247" t="s">
        <v>700</v>
      </c>
      <c r="B129" s="250" t="s">
        <v>701</v>
      </c>
      <c r="C129" s="258" t="s">
        <v>78</v>
      </c>
      <c r="D129" s="248">
        <v>6</v>
      </c>
      <c r="E129" s="248">
        <v>1.1719999999999999</v>
      </c>
      <c r="F129" s="252">
        <f t="shared" si="10"/>
        <v>7.032</v>
      </c>
      <c r="G129" s="288"/>
      <c r="H129" s="353"/>
      <c r="I129" s="260"/>
      <c r="J129" s="252"/>
      <c r="K129" s="249"/>
      <c r="L129" s="249"/>
      <c r="M129" s="249"/>
      <c r="N129" s="302"/>
    </row>
    <row r="130" spans="1:14" ht="38.25">
      <c r="A130" s="247" t="s">
        <v>702</v>
      </c>
      <c r="B130" s="250" t="s">
        <v>703</v>
      </c>
      <c r="C130" s="258" t="s">
        <v>78</v>
      </c>
      <c r="D130" s="248">
        <v>15</v>
      </c>
      <c r="E130" s="248">
        <v>15.147500000000001</v>
      </c>
      <c r="F130" s="252">
        <f t="shared" si="10"/>
        <v>227.21250000000001</v>
      </c>
      <c r="G130" s="288"/>
      <c r="H130" s="353"/>
      <c r="I130" s="260"/>
      <c r="J130" s="252"/>
      <c r="K130" s="249"/>
      <c r="L130" s="249"/>
      <c r="M130" s="249"/>
      <c r="N130" s="302"/>
    </row>
    <row r="131" spans="1:14" ht="38.25">
      <c r="A131" s="247" t="s">
        <v>704</v>
      </c>
      <c r="B131" s="250" t="s">
        <v>705</v>
      </c>
      <c r="C131" s="258" t="s">
        <v>78</v>
      </c>
      <c r="D131" s="248">
        <v>1</v>
      </c>
      <c r="E131" s="248">
        <v>27.18</v>
      </c>
      <c r="F131" s="252">
        <f t="shared" si="10"/>
        <v>27.18</v>
      </c>
      <c r="G131" s="288"/>
      <c r="H131" s="353"/>
      <c r="I131" s="260"/>
      <c r="J131" s="252"/>
      <c r="K131" s="249"/>
      <c r="L131" s="249"/>
      <c r="M131" s="249"/>
      <c r="N131" s="302"/>
    </row>
    <row r="132" spans="1:14" ht="25.5">
      <c r="A132" s="247" t="s">
        <v>706</v>
      </c>
      <c r="B132" s="250" t="s">
        <v>707</v>
      </c>
      <c r="C132" s="258" t="s">
        <v>78</v>
      </c>
      <c r="D132" s="248">
        <v>6</v>
      </c>
      <c r="E132" s="248">
        <v>8.4939999999999998</v>
      </c>
      <c r="F132" s="252">
        <f t="shared" si="10"/>
        <v>50.963999999999999</v>
      </c>
      <c r="G132" s="288"/>
      <c r="H132" s="353"/>
      <c r="I132" s="260"/>
      <c r="J132" s="252"/>
      <c r="K132" s="249"/>
      <c r="L132" s="249"/>
      <c r="M132" s="249"/>
      <c r="N132" s="302"/>
    </row>
    <row r="133" spans="1:14" ht="25.5">
      <c r="A133" s="247" t="s">
        <v>708</v>
      </c>
      <c r="B133" s="250" t="s">
        <v>699</v>
      </c>
      <c r="C133" s="258" t="s">
        <v>78</v>
      </c>
      <c r="D133" s="248">
        <v>2</v>
      </c>
      <c r="E133" s="248">
        <v>9.7200000000000006</v>
      </c>
      <c r="F133" s="252">
        <f t="shared" si="10"/>
        <v>19.440000000000001</v>
      </c>
      <c r="G133" s="288"/>
      <c r="H133" s="353"/>
      <c r="I133" s="260"/>
      <c r="J133" s="252"/>
      <c r="K133" s="249"/>
      <c r="L133" s="249"/>
      <c r="M133" s="249"/>
      <c r="N133" s="302"/>
    </row>
    <row r="134" spans="1:14" ht="25.5">
      <c r="A134" s="247" t="s">
        <v>709</v>
      </c>
      <c r="B134" s="250" t="s">
        <v>710</v>
      </c>
      <c r="C134" s="258" t="s">
        <v>78</v>
      </c>
      <c r="D134" s="248">
        <v>2</v>
      </c>
      <c r="E134" s="248">
        <v>4.18</v>
      </c>
      <c r="F134" s="252">
        <f t="shared" si="10"/>
        <v>8.36</v>
      </c>
      <c r="G134" s="288"/>
      <c r="H134" s="353"/>
      <c r="I134" s="260"/>
      <c r="J134" s="252"/>
      <c r="K134" s="249"/>
      <c r="L134" s="249"/>
      <c r="M134" s="249"/>
      <c r="N134" s="302"/>
    </row>
    <row r="135" spans="1:14" ht="25.5">
      <c r="A135" s="247" t="s">
        <v>711</v>
      </c>
      <c r="B135" s="250" t="s">
        <v>712</v>
      </c>
      <c r="C135" s="258" t="s">
        <v>78</v>
      </c>
      <c r="D135" s="248">
        <v>2</v>
      </c>
      <c r="E135" s="248">
        <v>5.4059999999999997</v>
      </c>
      <c r="F135" s="252">
        <f t="shared" si="10"/>
        <v>10.811999999999999</v>
      </c>
      <c r="G135" s="288"/>
      <c r="H135" s="353"/>
      <c r="I135" s="260"/>
      <c r="J135" s="252"/>
      <c r="K135" s="249"/>
      <c r="L135" s="249"/>
      <c r="M135" s="249"/>
      <c r="N135" s="302"/>
    </row>
    <row r="136" spans="1:14" ht="25.5">
      <c r="A136" s="247" t="s">
        <v>713</v>
      </c>
      <c r="B136" s="250" t="s">
        <v>714</v>
      </c>
      <c r="C136" s="258" t="s">
        <v>78</v>
      </c>
      <c r="D136" s="248">
        <v>1</v>
      </c>
      <c r="E136" s="248">
        <v>2.54</v>
      </c>
      <c r="F136" s="252">
        <f t="shared" si="10"/>
        <v>2.54</v>
      </c>
      <c r="G136" s="288"/>
      <c r="H136" s="353"/>
      <c r="I136" s="260"/>
      <c r="J136" s="252"/>
      <c r="K136" s="249"/>
      <c r="L136" s="249"/>
      <c r="M136" s="249"/>
      <c r="N136" s="302"/>
    </row>
    <row r="137" spans="1:14" ht="25.5">
      <c r="A137" s="247" t="s">
        <v>715</v>
      </c>
      <c r="B137" s="250" t="s">
        <v>716</v>
      </c>
      <c r="C137" s="258" t="s">
        <v>78</v>
      </c>
      <c r="D137" s="248">
        <v>6</v>
      </c>
      <c r="E137" s="248">
        <v>12.782</v>
      </c>
      <c r="F137" s="252">
        <f t="shared" si="10"/>
        <v>76.692000000000007</v>
      </c>
      <c r="G137" s="288"/>
      <c r="H137" s="353"/>
      <c r="I137" s="260"/>
      <c r="J137" s="252"/>
      <c r="K137" s="249"/>
      <c r="L137" s="249"/>
      <c r="M137" s="249"/>
      <c r="N137" s="302"/>
    </row>
    <row r="138" spans="1:14" ht="25.5">
      <c r="A138" s="247" t="s">
        <v>717</v>
      </c>
      <c r="B138" s="250" t="s">
        <v>718</v>
      </c>
      <c r="C138" s="258" t="s">
        <v>78</v>
      </c>
      <c r="D138" s="248">
        <v>5</v>
      </c>
      <c r="E138" s="248">
        <v>10.922000000000001</v>
      </c>
      <c r="F138" s="252">
        <f t="shared" si="10"/>
        <v>54.61</v>
      </c>
      <c r="G138" s="288"/>
      <c r="H138" s="353"/>
      <c r="I138" s="260"/>
      <c r="J138" s="252"/>
      <c r="K138" s="249"/>
      <c r="L138" s="249"/>
      <c r="M138" s="249"/>
      <c r="N138" s="302"/>
    </row>
    <row r="139" spans="1:14" ht="25.5">
      <c r="A139" s="247" t="s">
        <v>719</v>
      </c>
      <c r="B139" s="250" t="s">
        <v>720</v>
      </c>
      <c r="C139" s="258" t="s">
        <v>78</v>
      </c>
      <c r="D139" s="248">
        <v>5</v>
      </c>
      <c r="E139" s="248">
        <v>12.287000000000001</v>
      </c>
      <c r="F139" s="252">
        <f t="shared" si="10"/>
        <v>61.435000000000002</v>
      </c>
      <c r="G139" s="288"/>
      <c r="H139" s="353"/>
      <c r="I139" s="260"/>
      <c r="J139" s="252"/>
      <c r="K139" s="249"/>
      <c r="L139" s="249"/>
      <c r="M139" s="249"/>
      <c r="N139" s="302"/>
    </row>
    <row r="140" spans="1:14" ht="25.5">
      <c r="A140" s="247" t="s">
        <v>721</v>
      </c>
      <c r="B140" s="250" t="s">
        <v>722</v>
      </c>
      <c r="C140" s="258" t="s">
        <v>78</v>
      </c>
      <c r="D140" s="248">
        <v>8</v>
      </c>
      <c r="E140" s="248">
        <v>9.3529999999999998</v>
      </c>
      <c r="F140" s="252">
        <f t="shared" si="10"/>
        <v>74.823999999999998</v>
      </c>
      <c r="G140" s="288"/>
      <c r="H140" s="353"/>
      <c r="I140" s="260"/>
      <c r="J140" s="252"/>
      <c r="K140" s="249"/>
      <c r="L140" s="249"/>
      <c r="M140" s="249"/>
      <c r="N140" s="302"/>
    </row>
    <row r="141" spans="1:14" ht="25.5">
      <c r="A141" s="247" t="s">
        <v>723</v>
      </c>
      <c r="B141" s="250" t="s">
        <v>724</v>
      </c>
      <c r="C141" s="258" t="s">
        <v>78</v>
      </c>
      <c r="D141" s="248">
        <v>3</v>
      </c>
      <c r="E141" s="248">
        <v>14.75</v>
      </c>
      <c r="F141" s="252">
        <f t="shared" si="10"/>
        <v>44.25</v>
      </c>
      <c r="G141" s="288"/>
      <c r="H141" s="353"/>
      <c r="I141" s="260"/>
      <c r="J141" s="252"/>
      <c r="K141" s="249"/>
      <c r="L141" s="249"/>
      <c r="M141" s="249"/>
      <c r="N141" s="302"/>
    </row>
    <row r="142" spans="1:14" ht="38.25">
      <c r="A142" s="247" t="s">
        <v>725</v>
      </c>
      <c r="B142" s="250" t="s">
        <v>726</v>
      </c>
      <c r="C142" s="258" t="s">
        <v>78</v>
      </c>
      <c r="D142" s="248">
        <v>3</v>
      </c>
      <c r="E142" s="248">
        <v>23.532</v>
      </c>
      <c r="F142" s="252">
        <f t="shared" si="10"/>
        <v>70.596000000000004</v>
      </c>
      <c r="G142" s="288"/>
      <c r="H142" s="353"/>
      <c r="I142" s="260"/>
      <c r="J142" s="252"/>
      <c r="K142" s="249"/>
      <c r="L142" s="249"/>
      <c r="M142" s="249"/>
      <c r="N142" s="302"/>
    </row>
    <row r="143" spans="1:14" ht="25.5">
      <c r="A143" s="247" t="s">
        <v>727</v>
      </c>
      <c r="B143" s="250" t="s">
        <v>728</v>
      </c>
      <c r="C143" s="258" t="s">
        <v>78</v>
      </c>
      <c r="D143" s="248">
        <v>3</v>
      </c>
      <c r="E143" s="248">
        <v>17.350000000000001</v>
      </c>
      <c r="F143" s="252">
        <f t="shared" si="10"/>
        <v>52.050000000000004</v>
      </c>
      <c r="G143" s="288"/>
      <c r="H143" s="353"/>
      <c r="I143" s="260"/>
      <c r="J143" s="252"/>
      <c r="K143" s="249"/>
      <c r="L143" s="249"/>
      <c r="M143" s="249"/>
      <c r="N143" s="302"/>
    </row>
    <row r="144" spans="1:14" ht="25.5">
      <c r="A144" s="247" t="s">
        <v>729</v>
      </c>
      <c r="B144" s="250" t="s">
        <v>730</v>
      </c>
      <c r="C144" s="258" t="s">
        <v>78</v>
      </c>
      <c r="D144" s="248">
        <v>5</v>
      </c>
      <c r="E144" s="248">
        <v>19.242000000000001</v>
      </c>
      <c r="F144" s="252">
        <f t="shared" si="10"/>
        <v>96.210000000000008</v>
      </c>
      <c r="G144" s="288"/>
      <c r="H144" s="353"/>
      <c r="I144" s="260"/>
      <c r="J144" s="252"/>
      <c r="K144" s="249"/>
      <c r="L144" s="249"/>
      <c r="M144" s="249"/>
      <c r="N144" s="302"/>
    </row>
    <row r="145" spans="1:14" ht="25.5">
      <c r="A145" s="247" t="s">
        <v>731</v>
      </c>
      <c r="B145" s="250" t="s">
        <v>732</v>
      </c>
      <c r="C145" s="258" t="s">
        <v>105</v>
      </c>
      <c r="D145" s="248">
        <v>68.069999999999993</v>
      </c>
      <c r="E145" s="248">
        <v>17.286300000000001</v>
      </c>
      <c r="F145" s="252">
        <f t="shared" si="10"/>
        <v>1176.678441</v>
      </c>
      <c r="G145" s="288"/>
      <c r="H145" s="353"/>
      <c r="I145" s="260"/>
      <c r="J145" s="252"/>
      <c r="K145" s="249"/>
      <c r="L145" s="249"/>
      <c r="M145" s="249"/>
      <c r="N145" s="302"/>
    </row>
    <row r="146" spans="1:14" ht="25.5">
      <c r="A146" s="247" t="s">
        <v>733</v>
      </c>
      <c r="B146" s="250" t="s">
        <v>734</v>
      </c>
      <c r="C146" s="258" t="s">
        <v>78</v>
      </c>
      <c r="D146" s="248">
        <v>1</v>
      </c>
      <c r="E146" s="248">
        <v>30.84</v>
      </c>
      <c r="F146" s="252">
        <f t="shared" si="10"/>
        <v>30.84</v>
      </c>
      <c r="G146" s="288"/>
      <c r="H146" s="353"/>
      <c r="I146" s="260"/>
      <c r="J146" s="252"/>
      <c r="K146" s="249"/>
      <c r="L146" s="249"/>
      <c r="M146" s="249"/>
      <c r="N146" s="302"/>
    </row>
    <row r="147" spans="1:14" ht="25.5">
      <c r="A147" s="247" t="s">
        <v>735</v>
      </c>
      <c r="B147" s="250" t="s">
        <v>736</v>
      </c>
      <c r="C147" s="258" t="s">
        <v>105</v>
      </c>
      <c r="D147" s="248">
        <v>19.43</v>
      </c>
      <c r="E147" s="248">
        <v>25.994</v>
      </c>
      <c r="F147" s="252">
        <f t="shared" si="10"/>
        <v>505.06342000000001</v>
      </c>
      <c r="G147" s="288"/>
      <c r="H147" s="353"/>
      <c r="I147" s="260"/>
      <c r="J147" s="252"/>
      <c r="K147" s="249"/>
      <c r="L147" s="249"/>
      <c r="M147" s="249"/>
      <c r="N147" s="302"/>
    </row>
    <row r="148" spans="1:14" ht="25.5">
      <c r="A148" s="247" t="s">
        <v>737</v>
      </c>
      <c r="B148" s="250" t="s">
        <v>738</v>
      </c>
      <c r="C148" s="258" t="s">
        <v>78</v>
      </c>
      <c r="D148" s="248">
        <v>5</v>
      </c>
      <c r="E148" s="248">
        <v>32.54</v>
      </c>
      <c r="F148" s="252">
        <f t="shared" si="10"/>
        <v>162.69999999999999</v>
      </c>
      <c r="G148" s="288"/>
      <c r="H148" s="353"/>
      <c r="I148" s="260"/>
      <c r="J148" s="252"/>
      <c r="K148" s="249"/>
      <c r="L148" s="249"/>
      <c r="M148" s="249"/>
      <c r="N148" s="302"/>
    </row>
    <row r="149" spans="1:14" ht="25.5">
      <c r="A149" s="247" t="s">
        <v>739</v>
      </c>
      <c r="B149" s="250" t="s">
        <v>740</v>
      </c>
      <c r="C149" s="258" t="s">
        <v>105</v>
      </c>
      <c r="D149" s="248">
        <v>6.31</v>
      </c>
      <c r="E149" s="248">
        <v>17.48</v>
      </c>
      <c r="F149" s="252">
        <f t="shared" si="10"/>
        <v>110.2988</v>
      </c>
      <c r="G149" s="288"/>
      <c r="H149" s="353"/>
      <c r="I149" s="260"/>
      <c r="J149" s="252"/>
      <c r="K149" s="249"/>
      <c r="L149" s="249"/>
      <c r="M149" s="249"/>
      <c r="N149" s="302"/>
    </row>
    <row r="150" spans="1:14" ht="25.5">
      <c r="A150" s="247" t="s">
        <v>741</v>
      </c>
      <c r="B150" s="250" t="s">
        <v>742</v>
      </c>
      <c r="C150" s="258" t="s">
        <v>105</v>
      </c>
      <c r="D150" s="248">
        <v>53.96</v>
      </c>
      <c r="E150" s="248">
        <v>20.070699999999999</v>
      </c>
      <c r="F150" s="252">
        <f t="shared" si="10"/>
        <v>1083.0149719999999</v>
      </c>
      <c r="G150" s="288"/>
      <c r="H150" s="353"/>
      <c r="I150" s="260"/>
      <c r="J150" s="252"/>
      <c r="K150" s="249"/>
      <c r="L150" s="249"/>
      <c r="M150" s="249"/>
      <c r="N150" s="302"/>
    </row>
    <row r="151" spans="1:14" ht="25.5">
      <c r="A151" s="247" t="s">
        <v>743</v>
      </c>
      <c r="B151" s="250" t="s">
        <v>744</v>
      </c>
      <c r="C151" s="258" t="s">
        <v>78</v>
      </c>
      <c r="D151" s="248">
        <v>3</v>
      </c>
      <c r="E151" s="248">
        <v>93.7</v>
      </c>
      <c r="F151" s="252">
        <f t="shared" si="10"/>
        <v>281.10000000000002</v>
      </c>
      <c r="G151" s="288"/>
      <c r="H151" s="353"/>
      <c r="I151" s="260"/>
      <c r="J151" s="252"/>
      <c r="K151" s="249"/>
      <c r="L151" s="249"/>
      <c r="M151" s="249"/>
      <c r="N151" s="302"/>
    </row>
    <row r="152" spans="1:14" ht="25.5">
      <c r="A152" s="247" t="s">
        <v>745</v>
      </c>
      <c r="B152" s="250" t="s">
        <v>746</v>
      </c>
      <c r="C152" s="258" t="s">
        <v>78</v>
      </c>
      <c r="D152" s="248">
        <v>3</v>
      </c>
      <c r="E152" s="248">
        <v>33.380000000000003</v>
      </c>
      <c r="F152" s="252">
        <f t="shared" si="10"/>
        <v>100.14000000000001</v>
      </c>
      <c r="G152" s="288"/>
      <c r="H152" s="353"/>
      <c r="I152" s="260"/>
      <c r="J152" s="252"/>
      <c r="K152" s="249"/>
      <c r="L152" s="249"/>
      <c r="M152" s="249"/>
      <c r="N152" s="302"/>
    </row>
    <row r="153" spans="1:14" ht="38.25">
      <c r="A153" s="247" t="s">
        <v>747</v>
      </c>
      <c r="B153" s="250" t="s">
        <v>748</v>
      </c>
      <c r="C153" s="258" t="s">
        <v>78</v>
      </c>
      <c r="D153" s="248">
        <v>13</v>
      </c>
      <c r="E153" s="248">
        <v>97.59</v>
      </c>
      <c r="F153" s="252">
        <f t="shared" si="10"/>
        <v>1268.67</v>
      </c>
      <c r="G153" s="288"/>
      <c r="H153" s="353"/>
      <c r="I153" s="260"/>
      <c r="J153" s="252"/>
      <c r="K153" s="249"/>
      <c r="L153" s="249"/>
      <c r="M153" s="249"/>
      <c r="N153" s="302"/>
    </row>
    <row r="154" spans="1:14" ht="51">
      <c r="A154" s="247" t="s">
        <v>749</v>
      </c>
      <c r="B154" s="250" t="s">
        <v>750</v>
      </c>
      <c r="C154" s="258" t="s">
        <v>78</v>
      </c>
      <c r="D154" s="248">
        <v>7</v>
      </c>
      <c r="E154" s="248">
        <v>119.113</v>
      </c>
      <c r="F154" s="252">
        <f t="shared" si="10"/>
        <v>833.79099999999994</v>
      </c>
      <c r="G154" s="288"/>
      <c r="H154" s="353"/>
      <c r="I154" s="260"/>
      <c r="J154" s="252"/>
      <c r="K154" s="249"/>
      <c r="L154" s="249"/>
      <c r="M154" s="249"/>
      <c r="N154" s="302"/>
    </row>
    <row r="155" spans="1:14" ht="51">
      <c r="A155" s="247" t="s">
        <v>751</v>
      </c>
      <c r="B155" s="250" t="s">
        <v>752</v>
      </c>
      <c r="C155" s="258" t="s">
        <v>78</v>
      </c>
      <c r="D155" s="248">
        <v>2</v>
      </c>
      <c r="E155" s="248">
        <v>109.286</v>
      </c>
      <c r="F155" s="252">
        <f t="shared" si="10"/>
        <v>218.572</v>
      </c>
      <c r="G155" s="288"/>
      <c r="H155" s="353"/>
      <c r="I155" s="260"/>
      <c r="J155" s="252"/>
      <c r="K155" s="249"/>
      <c r="L155" s="249"/>
      <c r="M155" s="249"/>
      <c r="N155" s="302"/>
    </row>
    <row r="156" spans="1:14">
      <c r="A156" s="520"/>
      <c r="B156" s="521"/>
      <c r="C156" s="521"/>
      <c r="D156" s="521"/>
      <c r="E156" s="521"/>
      <c r="F156" s="521"/>
      <c r="G156" s="521"/>
      <c r="H156" s="521"/>
      <c r="I156" s="521"/>
      <c r="J156" s="521"/>
      <c r="K156" s="521"/>
      <c r="L156" s="521"/>
      <c r="M156" s="522"/>
      <c r="N156" s="302"/>
    </row>
    <row r="157" spans="1:14" s="265" customFormat="1">
      <c r="A157" s="264" t="s">
        <v>753</v>
      </c>
      <c r="B157" s="514" t="s">
        <v>754</v>
      </c>
      <c r="C157" s="515"/>
      <c r="D157" s="515"/>
      <c r="E157" s="516"/>
      <c r="F157" s="268">
        <f>SUM(F158,F173,F179,F189)</f>
        <v>38223.718613999998</v>
      </c>
      <c r="G157" s="287"/>
      <c r="H157" s="291"/>
      <c r="I157" s="278"/>
      <c r="J157" s="277"/>
      <c r="K157" s="266"/>
      <c r="L157" s="266">
        <f>SUM(L158:L193)</f>
        <v>0</v>
      </c>
      <c r="M157" s="266"/>
      <c r="N157" s="302"/>
    </row>
    <row r="158" spans="1:14">
      <c r="A158" s="253" t="s">
        <v>109</v>
      </c>
      <c r="B158" s="254" t="s">
        <v>755</v>
      </c>
      <c r="C158" s="253"/>
      <c r="D158" s="255"/>
      <c r="E158" s="345"/>
      <c r="F158" s="351">
        <f>SUM(F159:F172)-0.01</f>
        <v>10189.055524000001</v>
      </c>
      <c r="G158" s="288"/>
      <c r="H158" s="292"/>
      <c r="I158" s="260"/>
      <c r="J158" s="276"/>
      <c r="K158" s="249"/>
      <c r="L158" s="249"/>
      <c r="M158" s="249"/>
      <c r="N158" s="302"/>
    </row>
    <row r="159" spans="1:14" ht="38.25">
      <c r="A159" s="247" t="s">
        <v>756</v>
      </c>
      <c r="B159" s="250" t="s">
        <v>757</v>
      </c>
      <c r="C159" s="247" t="s">
        <v>78</v>
      </c>
      <c r="D159" s="248">
        <v>36</v>
      </c>
      <c r="E159" s="248">
        <v>9.718</v>
      </c>
      <c r="F159" s="252">
        <f t="shared" ref="F159:F192" si="11">E159*D159</f>
        <v>349.84800000000001</v>
      </c>
      <c r="G159" s="288"/>
      <c r="H159" s="353"/>
      <c r="I159" s="260"/>
      <c r="J159" s="252"/>
      <c r="K159" s="249"/>
      <c r="L159" s="249"/>
      <c r="M159" s="249"/>
      <c r="N159" s="302"/>
    </row>
    <row r="160" spans="1:14" ht="25.5">
      <c r="A160" s="247" t="s">
        <v>758</v>
      </c>
      <c r="B160" s="250" t="s">
        <v>759</v>
      </c>
      <c r="C160" s="247" t="s">
        <v>78</v>
      </c>
      <c r="D160" s="248">
        <v>36</v>
      </c>
      <c r="E160" s="248">
        <v>12.2445</v>
      </c>
      <c r="F160" s="252">
        <f t="shared" si="11"/>
        <v>440.80200000000002</v>
      </c>
      <c r="G160" s="288"/>
      <c r="H160" s="353"/>
      <c r="I160" s="260"/>
      <c r="J160" s="252"/>
      <c r="K160" s="249"/>
      <c r="L160" s="249"/>
      <c r="M160" s="249"/>
      <c r="N160" s="302"/>
    </row>
    <row r="161" spans="1:14" ht="38.25">
      <c r="A161" s="247" t="s">
        <v>760</v>
      </c>
      <c r="B161" s="250" t="s">
        <v>761</v>
      </c>
      <c r="C161" s="247" t="s">
        <v>78</v>
      </c>
      <c r="D161" s="248">
        <v>13</v>
      </c>
      <c r="E161" s="248">
        <v>5.7729999999999997</v>
      </c>
      <c r="F161" s="252">
        <f t="shared" si="11"/>
        <v>75.048999999999992</v>
      </c>
      <c r="G161" s="288"/>
      <c r="H161" s="353"/>
      <c r="I161" s="260"/>
      <c r="J161" s="252"/>
      <c r="K161" s="249"/>
      <c r="L161" s="249"/>
      <c r="M161" s="249"/>
      <c r="N161" s="302"/>
    </row>
    <row r="162" spans="1:14" ht="38.25">
      <c r="A162" s="247" t="s">
        <v>762</v>
      </c>
      <c r="B162" s="250" t="s">
        <v>763</v>
      </c>
      <c r="C162" s="247" t="s">
        <v>78</v>
      </c>
      <c r="D162" s="248">
        <v>17</v>
      </c>
      <c r="E162" s="248">
        <v>10.0945</v>
      </c>
      <c r="F162" s="252">
        <f t="shared" si="11"/>
        <v>171.60650000000001</v>
      </c>
      <c r="G162" s="288"/>
      <c r="H162" s="353"/>
      <c r="I162" s="260"/>
      <c r="J162" s="252"/>
      <c r="K162" s="249"/>
      <c r="L162" s="249"/>
      <c r="M162" s="249"/>
      <c r="N162" s="302"/>
    </row>
    <row r="163" spans="1:14" ht="38.25">
      <c r="A163" s="247" t="s">
        <v>764</v>
      </c>
      <c r="B163" s="250" t="s">
        <v>765</v>
      </c>
      <c r="C163" s="247" t="s">
        <v>78</v>
      </c>
      <c r="D163" s="248">
        <v>3</v>
      </c>
      <c r="E163" s="248">
        <v>22.027999999999999</v>
      </c>
      <c r="F163" s="252">
        <f t="shared" si="11"/>
        <v>66.084000000000003</v>
      </c>
      <c r="G163" s="288"/>
      <c r="H163" s="353"/>
      <c r="I163" s="260"/>
      <c r="J163" s="252"/>
      <c r="K163" s="249"/>
      <c r="L163" s="249"/>
      <c r="M163" s="249"/>
      <c r="N163" s="302"/>
    </row>
    <row r="164" spans="1:14" ht="38.25">
      <c r="A164" s="247" t="s">
        <v>766</v>
      </c>
      <c r="B164" s="250" t="s">
        <v>767</v>
      </c>
      <c r="C164" s="247" t="s">
        <v>78</v>
      </c>
      <c r="D164" s="248">
        <v>7</v>
      </c>
      <c r="E164" s="248">
        <v>22.091999999999999</v>
      </c>
      <c r="F164" s="252">
        <f t="shared" si="11"/>
        <v>154.64400000000001</v>
      </c>
      <c r="G164" s="288"/>
      <c r="H164" s="353"/>
      <c r="I164" s="260"/>
      <c r="J164" s="252"/>
      <c r="K164" s="249"/>
      <c r="L164" s="249"/>
      <c r="M164" s="249"/>
      <c r="N164" s="302"/>
    </row>
    <row r="165" spans="1:14" ht="38.25">
      <c r="A165" s="247" t="s">
        <v>768</v>
      </c>
      <c r="B165" s="250" t="s">
        <v>769</v>
      </c>
      <c r="C165" s="247" t="s">
        <v>78</v>
      </c>
      <c r="D165" s="248">
        <v>2</v>
      </c>
      <c r="E165" s="248">
        <v>9.3529999999999998</v>
      </c>
      <c r="F165" s="252">
        <f t="shared" si="11"/>
        <v>18.706</v>
      </c>
      <c r="G165" s="288"/>
      <c r="H165" s="353"/>
      <c r="I165" s="260"/>
      <c r="J165" s="252"/>
      <c r="K165" s="249"/>
      <c r="L165" s="249"/>
      <c r="M165" s="249"/>
      <c r="N165" s="302"/>
    </row>
    <row r="166" spans="1:14" ht="25.5">
      <c r="A166" s="247" t="s">
        <v>770</v>
      </c>
      <c r="B166" s="250" t="s">
        <v>771</v>
      </c>
      <c r="C166" s="247" t="s">
        <v>78</v>
      </c>
      <c r="D166" s="248">
        <v>12</v>
      </c>
      <c r="E166" s="248">
        <v>56.987000000000002</v>
      </c>
      <c r="F166" s="252">
        <f t="shared" si="11"/>
        <v>683.84400000000005</v>
      </c>
      <c r="G166" s="288"/>
      <c r="H166" s="353"/>
      <c r="I166" s="260"/>
      <c r="J166" s="252"/>
      <c r="K166" s="249"/>
      <c r="L166" s="249"/>
      <c r="M166" s="249"/>
      <c r="N166" s="302"/>
    </row>
    <row r="167" spans="1:14" ht="38.25">
      <c r="A167" s="247" t="s">
        <v>772</v>
      </c>
      <c r="B167" s="250" t="s">
        <v>773</v>
      </c>
      <c r="C167" s="247" t="s">
        <v>78</v>
      </c>
      <c r="D167" s="248">
        <v>5</v>
      </c>
      <c r="E167" s="248">
        <v>20.425999999999998</v>
      </c>
      <c r="F167" s="252">
        <f t="shared" si="11"/>
        <v>102.13</v>
      </c>
      <c r="G167" s="288"/>
      <c r="H167" s="353"/>
      <c r="I167" s="260"/>
      <c r="J167" s="252"/>
      <c r="K167" s="249"/>
      <c r="L167" s="249"/>
      <c r="M167" s="249"/>
      <c r="N167" s="302"/>
    </row>
    <row r="168" spans="1:14" ht="38.25">
      <c r="A168" s="247" t="s">
        <v>774</v>
      </c>
      <c r="B168" s="250" t="s">
        <v>775</v>
      </c>
      <c r="C168" s="247" t="s">
        <v>105</v>
      </c>
      <c r="D168" s="248">
        <v>55.81</v>
      </c>
      <c r="E168" s="248">
        <v>16.609000000000002</v>
      </c>
      <c r="F168" s="252">
        <f t="shared" si="11"/>
        <v>926.94829000000016</v>
      </c>
      <c r="G168" s="288"/>
      <c r="H168" s="353"/>
      <c r="I168" s="260"/>
      <c r="J168" s="252"/>
      <c r="K168" s="249"/>
      <c r="L168" s="249"/>
      <c r="M168" s="249"/>
      <c r="N168" s="302"/>
    </row>
    <row r="169" spans="1:14" ht="25.5">
      <c r="A169" s="247" t="s">
        <v>776</v>
      </c>
      <c r="B169" s="250" t="s">
        <v>777</v>
      </c>
      <c r="C169" s="247" t="s">
        <v>78</v>
      </c>
      <c r="D169" s="248">
        <v>10</v>
      </c>
      <c r="E169" s="248">
        <v>22.338999999999999</v>
      </c>
      <c r="F169" s="252">
        <f t="shared" si="11"/>
        <v>223.39</v>
      </c>
      <c r="G169" s="288"/>
      <c r="H169" s="353"/>
      <c r="I169" s="260"/>
      <c r="J169" s="252"/>
      <c r="K169" s="249"/>
      <c r="L169" s="249"/>
      <c r="M169" s="249"/>
      <c r="N169" s="302"/>
    </row>
    <row r="170" spans="1:14" ht="38.25">
      <c r="A170" s="247" t="s">
        <v>778</v>
      </c>
      <c r="B170" s="250" t="s">
        <v>779</v>
      </c>
      <c r="C170" s="247" t="s">
        <v>105</v>
      </c>
      <c r="D170" s="248">
        <v>56.63</v>
      </c>
      <c r="E170" s="248">
        <v>25.316800000000001</v>
      </c>
      <c r="F170" s="252">
        <f t="shared" si="11"/>
        <v>1433.690384</v>
      </c>
      <c r="G170" s="288"/>
      <c r="H170" s="353"/>
      <c r="I170" s="260"/>
      <c r="J170" s="252"/>
      <c r="K170" s="249"/>
      <c r="L170" s="249"/>
      <c r="M170" s="249"/>
      <c r="N170" s="302"/>
    </row>
    <row r="171" spans="1:14" ht="38.25">
      <c r="A171" s="247" t="s">
        <v>780</v>
      </c>
      <c r="B171" s="250" t="s">
        <v>781</v>
      </c>
      <c r="C171" s="247" t="s">
        <v>105</v>
      </c>
      <c r="D171" s="248">
        <v>1.7</v>
      </c>
      <c r="E171" s="248">
        <v>38.14</v>
      </c>
      <c r="F171" s="252">
        <f t="shared" si="11"/>
        <v>64.837999999999994</v>
      </c>
      <c r="G171" s="288"/>
      <c r="H171" s="353"/>
      <c r="I171" s="260"/>
      <c r="J171" s="252"/>
      <c r="K171" s="249"/>
      <c r="L171" s="249"/>
      <c r="M171" s="249"/>
      <c r="N171" s="302"/>
    </row>
    <row r="172" spans="1:14" ht="38.25">
      <c r="A172" s="247" t="s">
        <v>782</v>
      </c>
      <c r="B172" s="250" t="s">
        <v>783</v>
      </c>
      <c r="C172" s="247" t="s">
        <v>105</v>
      </c>
      <c r="D172" s="248">
        <v>114.5</v>
      </c>
      <c r="E172" s="248">
        <v>47.838299999999997</v>
      </c>
      <c r="F172" s="252">
        <f t="shared" si="11"/>
        <v>5477.4853499999999</v>
      </c>
      <c r="G172" s="288"/>
      <c r="H172" s="353"/>
      <c r="I172" s="260"/>
      <c r="J172" s="252"/>
      <c r="K172" s="249"/>
      <c r="L172" s="249"/>
      <c r="M172" s="249"/>
      <c r="N172" s="302"/>
    </row>
    <row r="173" spans="1:14">
      <c r="A173" s="253" t="s">
        <v>111</v>
      </c>
      <c r="B173" s="254" t="s">
        <v>784</v>
      </c>
      <c r="C173" s="253"/>
      <c r="D173" s="255"/>
      <c r="E173" s="345"/>
      <c r="F173" s="350">
        <f>SUM(F174:F178)</f>
        <v>4291.3077999999996</v>
      </c>
      <c r="G173" s="288"/>
      <c r="H173" s="353"/>
      <c r="I173" s="260"/>
      <c r="J173" s="252"/>
      <c r="K173" s="249"/>
      <c r="L173" s="249"/>
      <c r="M173" s="249"/>
      <c r="N173" s="302"/>
    </row>
    <row r="174" spans="1:14" ht="25.5">
      <c r="A174" s="247" t="s">
        <v>785</v>
      </c>
      <c r="B174" s="250" t="s">
        <v>786</v>
      </c>
      <c r="C174" s="247" t="s">
        <v>78</v>
      </c>
      <c r="D174" s="248">
        <v>13</v>
      </c>
      <c r="E174" s="248">
        <v>191.83699999999999</v>
      </c>
      <c r="F174" s="252">
        <f t="shared" si="11"/>
        <v>2493.8809999999999</v>
      </c>
      <c r="G174" s="288"/>
      <c r="H174" s="353"/>
      <c r="I174" s="260"/>
      <c r="J174" s="252"/>
      <c r="K174" s="249"/>
      <c r="L174" s="249"/>
      <c r="M174" s="249"/>
      <c r="N174" s="302"/>
    </row>
    <row r="175" spans="1:14" ht="38.25">
      <c r="A175" s="247" t="s">
        <v>787</v>
      </c>
      <c r="B175" s="250" t="s">
        <v>788</v>
      </c>
      <c r="C175" s="247" t="s">
        <v>78</v>
      </c>
      <c r="D175" s="248">
        <v>24</v>
      </c>
      <c r="E175" s="248">
        <v>29.09</v>
      </c>
      <c r="F175" s="252">
        <f t="shared" si="11"/>
        <v>698.16</v>
      </c>
      <c r="G175" s="288"/>
      <c r="H175" s="353"/>
      <c r="I175" s="260"/>
      <c r="J175" s="252"/>
      <c r="K175" s="249"/>
      <c r="L175" s="249"/>
      <c r="M175" s="249"/>
      <c r="N175" s="302"/>
    </row>
    <row r="176" spans="1:14">
      <c r="A176" s="247" t="s">
        <v>789</v>
      </c>
      <c r="B176" s="250" t="s">
        <v>790</v>
      </c>
      <c r="C176" s="247" t="s">
        <v>78</v>
      </c>
      <c r="D176" s="248">
        <v>1</v>
      </c>
      <c r="E176" s="248">
        <v>351.77</v>
      </c>
      <c r="F176" s="252">
        <f t="shared" si="11"/>
        <v>351.77</v>
      </c>
      <c r="G176" s="288"/>
      <c r="H176" s="353"/>
      <c r="I176" s="260"/>
      <c r="J176" s="252"/>
      <c r="K176" s="249"/>
      <c r="L176" s="249"/>
      <c r="M176" s="249"/>
      <c r="N176" s="302"/>
    </row>
    <row r="177" spans="1:14" ht="25.5">
      <c r="A177" s="247" t="s">
        <v>791</v>
      </c>
      <c r="B177" s="250" t="s">
        <v>792</v>
      </c>
      <c r="C177" s="247" t="s">
        <v>78</v>
      </c>
      <c r="D177" s="248">
        <v>31</v>
      </c>
      <c r="E177" s="248">
        <v>5.9233000000000002</v>
      </c>
      <c r="F177" s="252">
        <f t="shared" si="11"/>
        <v>183.6223</v>
      </c>
      <c r="G177" s="288"/>
      <c r="H177" s="353"/>
      <c r="I177" s="260"/>
      <c r="J177" s="252"/>
      <c r="K177" s="249"/>
      <c r="L177" s="249"/>
      <c r="M177" s="249"/>
      <c r="N177" s="302"/>
    </row>
    <row r="178" spans="1:14" ht="25.5">
      <c r="A178" s="247" t="s">
        <v>793</v>
      </c>
      <c r="B178" s="250" t="s">
        <v>794</v>
      </c>
      <c r="C178" s="247" t="s">
        <v>78</v>
      </c>
      <c r="D178" s="248">
        <v>31</v>
      </c>
      <c r="E178" s="248">
        <v>18.189499999999999</v>
      </c>
      <c r="F178" s="252">
        <f t="shared" si="11"/>
        <v>563.87450000000001</v>
      </c>
      <c r="G178" s="288"/>
      <c r="H178" s="353"/>
      <c r="I178" s="260"/>
      <c r="J178" s="252"/>
      <c r="K178" s="249"/>
      <c r="L178" s="249"/>
      <c r="M178" s="249"/>
      <c r="N178" s="302"/>
    </row>
    <row r="179" spans="1:14">
      <c r="A179" s="253" t="s">
        <v>113</v>
      </c>
      <c r="B179" s="254" t="s">
        <v>795</v>
      </c>
      <c r="C179" s="253"/>
      <c r="D179" s="255"/>
      <c r="E179" s="345"/>
      <c r="F179" s="350">
        <f>SUM(F180:F188)+0.01</f>
        <v>22831.880199999996</v>
      </c>
      <c r="G179" s="288"/>
      <c r="H179" s="353"/>
      <c r="I179" s="260"/>
      <c r="J179" s="252"/>
      <c r="K179" s="249"/>
      <c r="L179" s="249"/>
      <c r="M179" s="249"/>
      <c r="N179" s="302"/>
    </row>
    <row r="180" spans="1:14" ht="51">
      <c r="A180" s="247" t="s">
        <v>796</v>
      </c>
      <c r="B180" s="250" t="s">
        <v>797</v>
      </c>
      <c r="C180" s="247" t="s">
        <v>78</v>
      </c>
      <c r="D180" s="248">
        <v>18</v>
      </c>
      <c r="E180" s="248">
        <v>202.738</v>
      </c>
      <c r="F180" s="252">
        <f t="shared" si="11"/>
        <v>3649.2840000000001</v>
      </c>
      <c r="G180" s="288"/>
      <c r="H180" s="353"/>
      <c r="I180" s="260"/>
      <c r="J180" s="252"/>
      <c r="K180" s="249"/>
      <c r="L180" s="249"/>
      <c r="M180" s="249"/>
      <c r="N180" s="302"/>
    </row>
    <row r="181" spans="1:14" ht="51">
      <c r="A181" s="247" t="s">
        <v>798</v>
      </c>
      <c r="B181" s="250" t="s">
        <v>799</v>
      </c>
      <c r="C181" s="247" t="s">
        <v>78</v>
      </c>
      <c r="D181" s="248">
        <v>2</v>
      </c>
      <c r="E181" s="248">
        <v>755.27599999999995</v>
      </c>
      <c r="F181" s="252">
        <f t="shared" si="11"/>
        <v>1510.5519999999999</v>
      </c>
      <c r="G181" s="288"/>
      <c r="H181" s="353"/>
      <c r="I181" s="260"/>
      <c r="J181" s="252"/>
      <c r="K181" s="249"/>
      <c r="L181" s="249"/>
      <c r="M181" s="249"/>
      <c r="N181" s="302"/>
    </row>
    <row r="182" spans="1:14" ht="38.25">
      <c r="A182" s="247" t="s">
        <v>800</v>
      </c>
      <c r="B182" s="250" t="s">
        <v>801</v>
      </c>
      <c r="C182" s="247" t="s">
        <v>105</v>
      </c>
      <c r="D182" s="248">
        <v>4.8</v>
      </c>
      <c r="E182" s="248">
        <v>1037.2539999999999</v>
      </c>
      <c r="F182" s="252">
        <f t="shared" si="11"/>
        <v>4978.819199999999</v>
      </c>
      <c r="G182" s="288"/>
      <c r="H182" s="353"/>
      <c r="I182" s="260"/>
      <c r="J182" s="252"/>
      <c r="K182" s="249"/>
      <c r="L182" s="249"/>
      <c r="M182" s="249"/>
      <c r="N182" s="302"/>
    </row>
    <row r="183" spans="1:14">
      <c r="A183" s="247" t="s">
        <v>802</v>
      </c>
      <c r="B183" s="250" t="s">
        <v>803</v>
      </c>
      <c r="C183" s="247" t="s">
        <v>8</v>
      </c>
      <c r="D183" s="352">
        <v>1</v>
      </c>
      <c r="E183" s="248">
        <v>278.27</v>
      </c>
      <c r="F183" s="252">
        <f t="shared" si="11"/>
        <v>278.27</v>
      </c>
      <c r="G183" s="288"/>
      <c r="H183" s="353"/>
      <c r="I183" s="260"/>
      <c r="J183" s="252"/>
      <c r="K183" s="249"/>
      <c r="L183" s="249"/>
      <c r="M183" s="249"/>
      <c r="N183" s="302"/>
    </row>
    <row r="184" spans="1:14" ht="63.75">
      <c r="A184" s="247" t="s">
        <v>804</v>
      </c>
      <c r="B184" s="250" t="s">
        <v>805</v>
      </c>
      <c r="C184" s="247" t="s">
        <v>78</v>
      </c>
      <c r="D184" s="352">
        <v>8.4700000000000006</v>
      </c>
      <c r="E184" s="248">
        <v>746.7</v>
      </c>
      <c r="F184" s="252">
        <f>E184*D184-0.02</f>
        <v>6324.5290000000005</v>
      </c>
      <c r="G184" s="288"/>
      <c r="H184" s="353"/>
      <c r="I184" s="260"/>
      <c r="J184" s="252"/>
      <c r="K184" s="249"/>
      <c r="L184" s="249"/>
      <c r="M184" s="249"/>
      <c r="N184" s="302"/>
    </row>
    <row r="185" spans="1:14" ht="25.5">
      <c r="A185" s="247" t="s">
        <v>806</v>
      </c>
      <c r="B185" s="250" t="s">
        <v>807</v>
      </c>
      <c r="C185" s="247" t="s">
        <v>78</v>
      </c>
      <c r="D185" s="248">
        <v>8</v>
      </c>
      <c r="E185" s="248">
        <v>179.86099999999999</v>
      </c>
      <c r="F185" s="252">
        <f t="shared" si="11"/>
        <v>1438.8879999999999</v>
      </c>
      <c r="G185" s="288"/>
      <c r="H185" s="353"/>
      <c r="I185" s="260"/>
      <c r="J185" s="252"/>
      <c r="K185" s="249"/>
      <c r="L185" s="249"/>
      <c r="M185" s="249"/>
      <c r="N185" s="302"/>
    </row>
    <row r="186" spans="1:14" ht="25.5">
      <c r="A186" s="247" t="s">
        <v>808</v>
      </c>
      <c r="B186" s="250" t="s">
        <v>809</v>
      </c>
      <c r="C186" s="247" t="s">
        <v>78</v>
      </c>
      <c r="D186" s="248">
        <v>8</v>
      </c>
      <c r="E186" s="248">
        <v>144.80500000000001</v>
      </c>
      <c r="F186" s="252">
        <f t="shared" si="11"/>
        <v>1158.44</v>
      </c>
      <c r="G186" s="288"/>
      <c r="H186" s="353"/>
      <c r="I186" s="260"/>
      <c r="J186" s="252"/>
      <c r="K186" s="249"/>
      <c r="L186" s="249"/>
      <c r="M186" s="249"/>
      <c r="N186" s="302"/>
    </row>
    <row r="187" spans="1:14" ht="38.25">
      <c r="A187" s="247" t="s">
        <v>810</v>
      </c>
      <c r="B187" s="250" t="s">
        <v>811</v>
      </c>
      <c r="C187" s="247" t="s">
        <v>78</v>
      </c>
      <c r="D187" s="248">
        <v>7</v>
      </c>
      <c r="E187" s="248">
        <v>420.78399999999999</v>
      </c>
      <c r="F187" s="252">
        <f t="shared" si="11"/>
        <v>2945.4879999999998</v>
      </c>
      <c r="G187" s="288"/>
      <c r="H187" s="353"/>
      <c r="I187" s="260"/>
      <c r="J187" s="252"/>
      <c r="K187" s="249"/>
      <c r="L187" s="249"/>
      <c r="M187" s="249"/>
      <c r="N187" s="302"/>
    </row>
    <row r="188" spans="1:14" ht="25.5">
      <c r="A188" s="247" t="s">
        <v>812</v>
      </c>
      <c r="B188" s="250" t="s">
        <v>813</v>
      </c>
      <c r="C188" s="247" t="s">
        <v>78</v>
      </c>
      <c r="D188" s="248">
        <v>1</v>
      </c>
      <c r="E188" s="248">
        <v>547.6</v>
      </c>
      <c r="F188" s="252">
        <f t="shared" si="11"/>
        <v>547.6</v>
      </c>
      <c r="G188" s="288"/>
      <c r="H188" s="353"/>
      <c r="I188" s="260"/>
      <c r="J188" s="252"/>
      <c r="K188" s="249"/>
      <c r="L188" s="249"/>
      <c r="M188" s="249"/>
      <c r="N188" s="302"/>
    </row>
    <row r="189" spans="1:14">
      <c r="A189" s="253" t="s">
        <v>115</v>
      </c>
      <c r="B189" s="254" t="s">
        <v>814</v>
      </c>
      <c r="C189" s="253"/>
      <c r="D189" s="255"/>
      <c r="E189" s="345"/>
      <c r="F189" s="350">
        <f>SUM(F190:F192)</f>
        <v>911.47508999999991</v>
      </c>
      <c r="G189" s="288"/>
      <c r="H189" s="353"/>
      <c r="I189" s="260"/>
      <c r="J189" s="252"/>
      <c r="K189" s="249"/>
      <c r="L189" s="249"/>
      <c r="M189" s="249"/>
      <c r="N189" s="302"/>
    </row>
    <row r="190" spans="1:14" ht="38.25">
      <c r="A190" s="247" t="s">
        <v>815</v>
      </c>
      <c r="B190" s="250" t="s">
        <v>816</v>
      </c>
      <c r="C190" s="247" t="s">
        <v>105</v>
      </c>
      <c r="D190" s="248">
        <v>20.46</v>
      </c>
      <c r="E190" s="248">
        <v>38.141500000000001</v>
      </c>
      <c r="F190" s="252">
        <f t="shared" si="11"/>
        <v>780.37509</v>
      </c>
      <c r="G190" s="288"/>
      <c r="H190" s="353"/>
      <c r="I190" s="260"/>
      <c r="J190" s="252"/>
      <c r="K190" s="249"/>
      <c r="L190" s="249"/>
      <c r="M190" s="249"/>
      <c r="N190" s="302"/>
    </row>
    <row r="191" spans="1:14" ht="38.25">
      <c r="A191" s="247" t="s">
        <v>817</v>
      </c>
      <c r="B191" s="250" t="s">
        <v>818</v>
      </c>
      <c r="C191" s="247" t="s">
        <v>78</v>
      </c>
      <c r="D191" s="248">
        <v>5</v>
      </c>
      <c r="E191" s="248">
        <v>17.082000000000001</v>
      </c>
      <c r="F191" s="252">
        <f t="shared" si="11"/>
        <v>85.41</v>
      </c>
      <c r="G191" s="288"/>
      <c r="H191" s="353"/>
      <c r="I191" s="260"/>
      <c r="J191" s="252"/>
      <c r="K191" s="249"/>
      <c r="L191" s="249"/>
      <c r="M191" s="249"/>
      <c r="N191" s="302"/>
    </row>
    <row r="192" spans="1:14" ht="25.5">
      <c r="A192" s="247" t="s">
        <v>819</v>
      </c>
      <c r="B192" s="250" t="s">
        <v>820</v>
      </c>
      <c r="C192" s="247" t="s">
        <v>78</v>
      </c>
      <c r="D192" s="248">
        <v>5</v>
      </c>
      <c r="E192" s="248">
        <v>9.1379999999999999</v>
      </c>
      <c r="F192" s="252">
        <f t="shared" si="11"/>
        <v>45.69</v>
      </c>
      <c r="G192" s="288"/>
      <c r="H192" s="353"/>
      <c r="I192" s="260"/>
      <c r="J192" s="252"/>
      <c r="K192" s="249"/>
      <c r="L192" s="249"/>
      <c r="M192" s="249"/>
      <c r="N192" s="302"/>
    </row>
    <row r="193" spans="1:14">
      <c r="A193" s="520"/>
      <c r="B193" s="521"/>
      <c r="C193" s="521"/>
      <c r="D193" s="521"/>
      <c r="E193" s="521"/>
      <c r="F193" s="521"/>
      <c r="G193" s="521"/>
      <c r="H193" s="521"/>
      <c r="I193" s="521"/>
      <c r="J193" s="521"/>
      <c r="K193" s="521"/>
      <c r="L193" s="521"/>
      <c r="M193" s="522"/>
      <c r="N193" s="302"/>
    </row>
    <row r="194" spans="1:14" s="265" customFormat="1">
      <c r="A194" s="264" t="s">
        <v>821</v>
      </c>
      <c r="B194" s="514" t="s">
        <v>822</v>
      </c>
      <c r="C194" s="515"/>
      <c r="D194" s="515"/>
      <c r="E194" s="516"/>
      <c r="F194" s="268">
        <f>SUM(F195:F232)</f>
        <v>41814.853317100016</v>
      </c>
      <c r="G194" s="287"/>
      <c r="H194" s="291"/>
      <c r="I194" s="278"/>
      <c r="J194" s="277"/>
      <c r="K194" s="266"/>
      <c r="L194" s="266">
        <f>SUM(L195:L233)</f>
        <v>0</v>
      </c>
      <c r="M194" s="266"/>
      <c r="N194" s="302"/>
    </row>
    <row r="195" spans="1:14">
      <c r="A195" s="247" t="s">
        <v>126</v>
      </c>
      <c r="B195" s="250" t="s">
        <v>823</v>
      </c>
      <c r="C195" s="258" t="s">
        <v>78</v>
      </c>
      <c r="D195" s="248">
        <v>0</v>
      </c>
      <c r="E195" s="248">
        <v>732.94</v>
      </c>
      <c r="F195" s="252"/>
      <c r="G195" s="288"/>
      <c r="H195" s="292"/>
      <c r="I195" s="260"/>
      <c r="J195" s="252"/>
      <c r="K195" s="249"/>
      <c r="L195" s="249"/>
      <c r="M195" s="249"/>
      <c r="N195" s="302"/>
    </row>
    <row r="196" spans="1:14">
      <c r="A196" s="247" t="s">
        <v>128</v>
      </c>
      <c r="B196" s="250" t="s">
        <v>824</v>
      </c>
      <c r="C196" s="258" t="s">
        <v>23</v>
      </c>
      <c r="D196" s="248">
        <v>0.35</v>
      </c>
      <c r="E196" s="248">
        <v>25.61</v>
      </c>
      <c r="F196" s="252">
        <f t="shared" ref="F196:F231" si="12">E196*D196</f>
        <v>8.9634999999999998</v>
      </c>
      <c r="G196" s="288"/>
      <c r="H196" s="353"/>
      <c r="I196" s="260"/>
      <c r="J196" s="252"/>
      <c r="K196" s="249"/>
      <c r="L196" s="249"/>
      <c r="M196" s="249"/>
      <c r="N196" s="302"/>
    </row>
    <row r="197" spans="1:14" ht="38.25">
      <c r="A197" s="247" t="s">
        <v>130</v>
      </c>
      <c r="B197" s="250" t="s">
        <v>825</v>
      </c>
      <c r="C197" s="258" t="s">
        <v>78</v>
      </c>
      <c r="D197" s="248">
        <v>2</v>
      </c>
      <c r="E197" s="248">
        <v>612.87</v>
      </c>
      <c r="F197" s="252">
        <f t="shared" si="12"/>
        <v>1225.74</v>
      </c>
      <c r="G197" s="288"/>
      <c r="H197" s="353"/>
      <c r="I197" s="260"/>
      <c r="J197" s="252"/>
      <c r="K197" s="276"/>
      <c r="L197" s="249"/>
      <c r="M197" s="276"/>
      <c r="N197" s="302"/>
    </row>
    <row r="198" spans="1:14" ht="25.5">
      <c r="A198" s="247" t="s">
        <v>132</v>
      </c>
      <c r="B198" s="250" t="s">
        <v>826</v>
      </c>
      <c r="C198" s="258" t="s">
        <v>23</v>
      </c>
      <c r="D198" s="248">
        <v>0.06</v>
      </c>
      <c r="E198" s="248">
        <v>337.87</v>
      </c>
      <c r="F198" s="252">
        <f t="shared" si="12"/>
        <v>20.272199999999998</v>
      </c>
      <c r="G198" s="288"/>
      <c r="H198" s="353"/>
      <c r="I198" s="260"/>
      <c r="J198" s="252"/>
      <c r="K198" s="276"/>
      <c r="L198" s="249"/>
      <c r="M198" s="276"/>
      <c r="N198" s="302"/>
    </row>
    <row r="199" spans="1:14">
      <c r="A199" s="247" t="s">
        <v>134</v>
      </c>
      <c r="B199" s="250" t="s">
        <v>827</v>
      </c>
      <c r="C199" s="258" t="s">
        <v>23</v>
      </c>
      <c r="D199" s="248">
        <v>0.06</v>
      </c>
      <c r="E199" s="248">
        <v>84.49</v>
      </c>
      <c r="F199" s="252">
        <f t="shared" si="12"/>
        <v>5.0693999999999999</v>
      </c>
      <c r="G199" s="288"/>
      <c r="H199" s="353"/>
      <c r="I199" s="260"/>
      <c r="J199" s="252"/>
      <c r="K199" s="276"/>
      <c r="L199" s="249"/>
      <c r="M199" s="276"/>
      <c r="N199" s="302"/>
    </row>
    <row r="200" spans="1:14">
      <c r="A200" s="247" t="s">
        <v>136</v>
      </c>
      <c r="B200" s="250" t="s">
        <v>828</v>
      </c>
      <c r="C200" s="258" t="s">
        <v>23</v>
      </c>
      <c r="D200" s="248">
        <v>0.28999999999999998</v>
      </c>
      <c r="E200" s="248">
        <v>44.81</v>
      </c>
      <c r="F200" s="252">
        <f t="shared" si="12"/>
        <v>12.994899999999999</v>
      </c>
      <c r="G200" s="288"/>
      <c r="H200" s="353"/>
      <c r="I200" s="260"/>
      <c r="J200" s="252"/>
      <c r="K200" s="276"/>
      <c r="L200" s="249"/>
      <c r="M200" s="276"/>
      <c r="N200" s="302"/>
    </row>
    <row r="201" spans="1:14" ht="25.5">
      <c r="A201" s="247" t="s">
        <v>138</v>
      </c>
      <c r="B201" s="250" t="s">
        <v>829</v>
      </c>
      <c r="C201" s="258" t="s">
        <v>78</v>
      </c>
      <c r="D201" s="248">
        <v>24</v>
      </c>
      <c r="E201" s="248">
        <v>11.3</v>
      </c>
      <c r="F201" s="252">
        <f>E201*D201-0.04</f>
        <v>271.16000000000003</v>
      </c>
      <c r="G201" s="288"/>
      <c r="H201" s="353"/>
      <c r="I201" s="260"/>
      <c r="J201" s="252"/>
      <c r="K201" s="276"/>
      <c r="L201" s="249"/>
      <c r="M201" s="276"/>
      <c r="N201" s="302"/>
    </row>
    <row r="202" spans="1:14" ht="25.5">
      <c r="A202" s="247" t="s">
        <v>140</v>
      </c>
      <c r="B202" s="250" t="s">
        <v>830</v>
      </c>
      <c r="C202" s="258" t="s">
        <v>78</v>
      </c>
      <c r="D202" s="248">
        <v>2</v>
      </c>
      <c r="E202" s="248">
        <v>73.736000000000004</v>
      </c>
      <c r="F202" s="252">
        <f t="shared" si="12"/>
        <v>147.47200000000001</v>
      </c>
      <c r="G202" s="288"/>
      <c r="H202" s="353"/>
      <c r="I202" s="260"/>
      <c r="J202" s="252"/>
      <c r="K202" s="276"/>
      <c r="L202" s="249"/>
      <c r="M202" s="276"/>
      <c r="N202" s="302"/>
    </row>
    <row r="203" spans="1:14" ht="25.5">
      <c r="A203" s="247" t="s">
        <v>142</v>
      </c>
      <c r="B203" s="250" t="s">
        <v>831</v>
      </c>
      <c r="C203" s="258" t="s">
        <v>78</v>
      </c>
      <c r="D203" s="248">
        <v>3</v>
      </c>
      <c r="E203" s="248">
        <v>176.31299999999999</v>
      </c>
      <c r="F203" s="252">
        <f t="shared" si="12"/>
        <v>528.93899999999996</v>
      </c>
      <c r="G203" s="288"/>
      <c r="H203" s="353"/>
      <c r="I203" s="260"/>
      <c r="J203" s="252"/>
      <c r="K203" s="276"/>
      <c r="L203" s="249"/>
      <c r="M203" s="276"/>
      <c r="N203" s="302"/>
    </row>
    <row r="204" spans="1:14" ht="25.5">
      <c r="A204" s="247" t="s">
        <v>144</v>
      </c>
      <c r="B204" s="250" t="s">
        <v>832</v>
      </c>
      <c r="C204" s="258" t="s">
        <v>78</v>
      </c>
      <c r="D204" s="248">
        <v>1</v>
      </c>
      <c r="E204" s="248">
        <v>99.2</v>
      </c>
      <c r="F204" s="252">
        <f t="shared" si="12"/>
        <v>99.2</v>
      </c>
      <c r="G204" s="288"/>
      <c r="H204" s="353"/>
      <c r="I204" s="260"/>
      <c r="J204" s="252"/>
      <c r="K204" s="276"/>
      <c r="L204" s="249"/>
      <c r="M204" s="276"/>
      <c r="N204" s="302"/>
    </row>
    <row r="205" spans="1:14" ht="25.5">
      <c r="A205" s="247" t="s">
        <v>146</v>
      </c>
      <c r="B205" s="250" t="s">
        <v>833</v>
      </c>
      <c r="C205" s="258" t="s">
        <v>78</v>
      </c>
      <c r="D205" s="248">
        <v>12</v>
      </c>
      <c r="E205" s="248">
        <v>96.44</v>
      </c>
      <c r="F205" s="252">
        <f t="shared" si="12"/>
        <v>1157.28</v>
      </c>
      <c r="G205" s="288"/>
      <c r="H205" s="353"/>
      <c r="I205" s="260"/>
      <c r="J205" s="252"/>
      <c r="K205" s="276"/>
      <c r="L205" s="249"/>
      <c r="M205" s="276"/>
      <c r="N205" s="302"/>
    </row>
    <row r="206" spans="1:14" ht="25.5">
      <c r="A206" s="247" t="s">
        <v>148</v>
      </c>
      <c r="B206" s="250" t="s">
        <v>834</v>
      </c>
      <c r="C206" s="258" t="s">
        <v>78</v>
      </c>
      <c r="D206" s="248">
        <v>25</v>
      </c>
      <c r="E206" s="248">
        <v>20.49</v>
      </c>
      <c r="F206" s="252">
        <f t="shared" si="12"/>
        <v>512.25</v>
      </c>
      <c r="G206" s="288"/>
      <c r="H206" s="353"/>
      <c r="I206" s="260"/>
      <c r="J206" s="252"/>
      <c r="K206" s="276"/>
      <c r="L206" s="249"/>
      <c r="M206" s="276"/>
      <c r="N206" s="302"/>
    </row>
    <row r="207" spans="1:14" ht="25.5">
      <c r="A207" s="247" t="s">
        <v>150</v>
      </c>
      <c r="B207" s="250" t="s">
        <v>835</v>
      </c>
      <c r="C207" s="258" t="s">
        <v>78</v>
      </c>
      <c r="D207" s="248">
        <v>81</v>
      </c>
      <c r="E207" s="248">
        <v>34.465000000000003</v>
      </c>
      <c r="F207" s="252">
        <f t="shared" si="12"/>
        <v>2791.6650000000004</v>
      </c>
      <c r="G207" s="288"/>
      <c r="H207" s="353"/>
      <c r="I207" s="260"/>
      <c r="J207" s="252"/>
      <c r="K207" s="276"/>
      <c r="L207" s="249"/>
      <c r="M207" s="276"/>
      <c r="N207" s="302"/>
    </row>
    <row r="208" spans="1:14" ht="25.5">
      <c r="A208" s="247" t="s">
        <v>152</v>
      </c>
      <c r="B208" s="250" t="s">
        <v>836</v>
      </c>
      <c r="C208" s="258" t="s">
        <v>78</v>
      </c>
      <c r="D208" s="248">
        <v>1</v>
      </c>
      <c r="E208" s="248">
        <v>32.49</v>
      </c>
      <c r="F208" s="252">
        <f t="shared" si="12"/>
        <v>32.49</v>
      </c>
      <c r="G208" s="288"/>
      <c r="H208" s="353"/>
      <c r="I208" s="260"/>
      <c r="J208" s="252"/>
      <c r="K208" s="276"/>
      <c r="L208" s="249"/>
      <c r="M208" s="276"/>
      <c r="N208" s="302"/>
    </row>
    <row r="209" spans="1:14" ht="25.5">
      <c r="A209" s="247" t="s">
        <v>154</v>
      </c>
      <c r="B209" s="250" t="s">
        <v>837</v>
      </c>
      <c r="C209" s="258" t="s">
        <v>78</v>
      </c>
      <c r="D209" s="248">
        <v>2</v>
      </c>
      <c r="E209" s="248">
        <v>25.23</v>
      </c>
      <c r="F209" s="252">
        <f t="shared" si="12"/>
        <v>50.46</v>
      </c>
      <c r="G209" s="288"/>
      <c r="H209" s="353"/>
      <c r="I209" s="260"/>
      <c r="J209" s="252"/>
      <c r="K209" s="276"/>
      <c r="L209" s="249"/>
      <c r="M209" s="276"/>
      <c r="N209" s="302"/>
    </row>
    <row r="210" spans="1:14">
      <c r="A210" s="247" t="s">
        <v>156</v>
      </c>
      <c r="B210" s="250" t="s">
        <v>838</v>
      </c>
      <c r="C210" s="258" t="s">
        <v>78</v>
      </c>
      <c r="D210" s="248">
        <v>11</v>
      </c>
      <c r="E210" s="248">
        <v>36.131999999999998</v>
      </c>
      <c r="F210" s="252">
        <f t="shared" si="12"/>
        <v>397.452</v>
      </c>
      <c r="G210" s="288"/>
      <c r="H210" s="353"/>
      <c r="I210" s="260"/>
      <c r="J210" s="252"/>
      <c r="K210" s="276"/>
      <c r="L210" s="249"/>
      <c r="M210" s="276"/>
      <c r="N210" s="302"/>
    </row>
    <row r="211" spans="1:14" ht="25.5">
      <c r="A211" s="247" t="s">
        <v>158</v>
      </c>
      <c r="B211" s="250" t="s">
        <v>839</v>
      </c>
      <c r="C211" s="258" t="s">
        <v>78</v>
      </c>
      <c r="D211" s="248">
        <v>33</v>
      </c>
      <c r="E211" s="248">
        <v>21.725999999999999</v>
      </c>
      <c r="F211" s="252">
        <f t="shared" si="12"/>
        <v>716.95799999999997</v>
      </c>
      <c r="G211" s="288"/>
      <c r="H211" s="353"/>
      <c r="I211" s="260"/>
      <c r="J211" s="252"/>
      <c r="K211" s="276"/>
      <c r="L211" s="249"/>
      <c r="M211" s="276"/>
      <c r="N211" s="302"/>
    </row>
    <row r="212" spans="1:14" ht="25.5">
      <c r="A212" s="247" t="s">
        <v>160</v>
      </c>
      <c r="B212" s="250" t="s">
        <v>840</v>
      </c>
      <c r="C212" s="258" t="s">
        <v>78</v>
      </c>
      <c r="D212" s="248">
        <v>19</v>
      </c>
      <c r="E212" s="248">
        <v>23.7685</v>
      </c>
      <c r="F212" s="252">
        <f t="shared" si="12"/>
        <v>451.60149999999999</v>
      </c>
      <c r="G212" s="288"/>
      <c r="H212" s="353"/>
      <c r="I212" s="260"/>
      <c r="J212" s="252"/>
      <c r="K212" s="276"/>
      <c r="L212" s="249"/>
      <c r="M212" s="276"/>
      <c r="N212" s="302"/>
    </row>
    <row r="213" spans="1:14" ht="25.5">
      <c r="A213" s="247" t="s">
        <v>162</v>
      </c>
      <c r="B213" s="250" t="s">
        <v>841</v>
      </c>
      <c r="C213" s="258" t="s">
        <v>78</v>
      </c>
      <c r="D213" s="248">
        <v>27</v>
      </c>
      <c r="E213" s="248">
        <v>34.9</v>
      </c>
      <c r="F213" s="252">
        <f>E213*D213-0.13</f>
        <v>942.17</v>
      </c>
      <c r="G213" s="288"/>
      <c r="H213" s="353"/>
      <c r="I213" s="260"/>
      <c r="J213" s="252"/>
      <c r="K213" s="276"/>
      <c r="L213" s="249"/>
      <c r="M213" s="276"/>
      <c r="N213" s="302"/>
    </row>
    <row r="214" spans="1:14" ht="25.5">
      <c r="A214" s="247" t="s">
        <v>164</v>
      </c>
      <c r="B214" s="250" t="s">
        <v>842</v>
      </c>
      <c r="C214" s="258" t="s">
        <v>105</v>
      </c>
      <c r="D214" s="248">
        <v>226.5</v>
      </c>
      <c r="E214" s="248">
        <v>2.6122999999999998</v>
      </c>
      <c r="F214" s="252">
        <f t="shared" si="12"/>
        <v>591.68594999999993</v>
      </c>
      <c r="G214" s="288"/>
      <c r="H214" s="353"/>
      <c r="I214" s="260"/>
      <c r="J214" s="252"/>
      <c r="K214" s="276"/>
      <c r="L214" s="249"/>
      <c r="M214" s="276"/>
      <c r="N214" s="302"/>
    </row>
    <row r="215" spans="1:14" ht="25.5">
      <c r="A215" s="247" t="s">
        <v>166</v>
      </c>
      <c r="B215" s="250" t="s">
        <v>843</v>
      </c>
      <c r="C215" s="258" t="s">
        <v>105</v>
      </c>
      <c r="D215" s="248">
        <v>1454.1</v>
      </c>
      <c r="E215" s="248">
        <v>3.8915700000000002</v>
      </c>
      <c r="F215" s="252">
        <f t="shared" si="12"/>
        <v>5658.7319369999996</v>
      </c>
      <c r="G215" s="288"/>
      <c r="H215" s="353"/>
      <c r="I215" s="260"/>
      <c r="J215" s="252"/>
      <c r="K215" s="276"/>
      <c r="L215" s="276"/>
      <c r="M215" s="276"/>
      <c r="N215" s="302"/>
    </row>
    <row r="216" spans="1:14" ht="25.5">
      <c r="A216" s="247" t="s">
        <v>168</v>
      </c>
      <c r="B216" s="250" t="s">
        <v>844</v>
      </c>
      <c r="C216" s="258" t="s">
        <v>105</v>
      </c>
      <c r="D216" s="248">
        <v>1900.2</v>
      </c>
      <c r="E216" s="248">
        <v>5.9126099999999999</v>
      </c>
      <c r="F216" s="252">
        <f t="shared" si="12"/>
        <v>11235.141522</v>
      </c>
      <c r="G216" s="288"/>
      <c r="H216" s="353"/>
      <c r="I216" s="260"/>
      <c r="J216" s="252"/>
      <c r="K216" s="276"/>
      <c r="L216" s="276"/>
      <c r="M216" s="276"/>
      <c r="N216" s="302"/>
    </row>
    <row r="217" spans="1:14" ht="25.5">
      <c r="A217" s="247" t="s">
        <v>170</v>
      </c>
      <c r="B217" s="250" t="s">
        <v>845</v>
      </c>
      <c r="C217" s="258" t="s">
        <v>105</v>
      </c>
      <c r="D217" s="248">
        <v>112.2</v>
      </c>
      <c r="E217" s="248">
        <v>8.9226500000000009</v>
      </c>
      <c r="F217" s="252">
        <f t="shared" si="12"/>
        <v>1001.1213300000002</v>
      </c>
      <c r="G217" s="288"/>
      <c r="H217" s="353"/>
      <c r="I217" s="260"/>
      <c r="J217" s="252"/>
      <c r="K217" s="276"/>
      <c r="L217" s="276"/>
      <c r="M217" s="276"/>
      <c r="N217" s="302"/>
    </row>
    <row r="218" spans="1:14" ht="25.5">
      <c r="A218" s="247" t="s">
        <v>172</v>
      </c>
      <c r="B218" s="250" t="s">
        <v>846</v>
      </c>
      <c r="C218" s="258" t="s">
        <v>105</v>
      </c>
      <c r="D218" s="248">
        <v>449.1</v>
      </c>
      <c r="E218" s="248">
        <v>6.5898700000000003</v>
      </c>
      <c r="F218" s="252">
        <f t="shared" si="12"/>
        <v>2959.5106170000004</v>
      </c>
      <c r="G218" s="288"/>
      <c r="H218" s="353"/>
      <c r="I218" s="260"/>
      <c r="J218" s="252"/>
      <c r="K218" s="276"/>
      <c r="L218" s="276"/>
      <c r="M218" s="276"/>
      <c r="N218" s="302"/>
    </row>
    <row r="219" spans="1:14" ht="25.5">
      <c r="A219" s="247" t="s">
        <v>174</v>
      </c>
      <c r="B219" s="250" t="s">
        <v>847</v>
      </c>
      <c r="C219" s="258" t="s">
        <v>105</v>
      </c>
      <c r="D219" s="248">
        <v>76.099999999999994</v>
      </c>
      <c r="E219" s="248">
        <v>8.4604999999999997</v>
      </c>
      <c r="F219" s="252">
        <f t="shared" si="12"/>
        <v>643.84404999999992</v>
      </c>
      <c r="G219" s="288"/>
      <c r="H219" s="353"/>
      <c r="I219" s="260"/>
      <c r="J219" s="252"/>
      <c r="K219" s="276"/>
      <c r="L219" s="276"/>
      <c r="M219" s="276"/>
      <c r="N219" s="302"/>
    </row>
    <row r="220" spans="1:14" ht="25.5">
      <c r="A220" s="247" t="s">
        <v>176</v>
      </c>
      <c r="B220" s="250" t="s">
        <v>848</v>
      </c>
      <c r="C220" s="258" t="s">
        <v>105</v>
      </c>
      <c r="D220" s="248">
        <v>261.5</v>
      </c>
      <c r="E220" s="248">
        <v>8.6753999999999998</v>
      </c>
      <c r="F220" s="252">
        <f t="shared" si="12"/>
        <v>2268.6170999999999</v>
      </c>
      <c r="G220" s="288"/>
      <c r="H220" s="353"/>
      <c r="I220" s="260"/>
      <c r="J220" s="252"/>
      <c r="K220" s="276"/>
      <c r="L220" s="276"/>
      <c r="M220" s="276"/>
      <c r="N220" s="302"/>
    </row>
    <row r="221" spans="1:14" s="342" customFormat="1" ht="25.5">
      <c r="A221" s="247" t="s">
        <v>178</v>
      </c>
      <c r="B221" s="250" t="s">
        <v>849</v>
      </c>
      <c r="C221" s="258" t="s">
        <v>105</v>
      </c>
      <c r="D221" s="248">
        <v>42.1</v>
      </c>
      <c r="E221" s="248">
        <v>11.1587</v>
      </c>
      <c r="F221" s="252">
        <f t="shared" si="12"/>
        <v>469.78127000000001</v>
      </c>
      <c r="G221" s="288"/>
      <c r="H221" s="353"/>
      <c r="I221" s="260"/>
      <c r="J221" s="252"/>
      <c r="K221" s="347"/>
      <c r="L221" s="347"/>
      <c r="M221" s="347"/>
      <c r="N221" s="341"/>
    </row>
    <row r="222" spans="1:14" s="342" customFormat="1" ht="25.5">
      <c r="A222" s="247" t="s">
        <v>180</v>
      </c>
      <c r="B222" s="250" t="s">
        <v>850</v>
      </c>
      <c r="C222" s="258" t="s">
        <v>105</v>
      </c>
      <c r="D222" s="248">
        <v>6.2</v>
      </c>
      <c r="E222" s="248">
        <v>13.223000000000001</v>
      </c>
      <c r="F222" s="252">
        <f t="shared" si="12"/>
        <v>81.982600000000005</v>
      </c>
      <c r="G222" s="288"/>
      <c r="H222" s="353"/>
      <c r="I222" s="260"/>
      <c r="J222" s="252"/>
      <c r="K222" s="347"/>
      <c r="L222" s="347"/>
      <c r="M222" s="347"/>
      <c r="N222" s="341"/>
    </row>
    <row r="223" spans="1:14" s="342" customFormat="1" ht="25.5">
      <c r="A223" s="247" t="s">
        <v>182</v>
      </c>
      <c r="B223" s="250" t="s">
        <v>851</v>
      </c>
      <c r="C223" s="258" t="s">
        <v>78</v>
      </c>
      <c r="D223" s="248">
        <v>4</v>
      </c>
      <c r="E223" s="248">
        <v>46.677999999999997</v>
      </c>
      <c r="F223" s="252">
        <f t="shared" si="12"/>
        <v>186.71199999999999</v>
      </c>
      <c r="G223" s="288"/>
      <c r="H223" s="353"/>
      <c r="I223" s="260"/>
      <c r="J223" s="252"/>
      <c r="K223" s="347"/>
      <c r="L223" s="347"/>
      <c r="M223" s="347"/>
      <c r="N223" s="341"/>
    </row>
    <row r="224" spans="1:14" s="342" customFormat="1" ht="25.5">
      <c r="A224" s="247" t="s">
        <v>184</v>
      </c>
      <c r="B224" s="250" t="s">
        <v>852</v>
      </c>
      <c r="C224" s="258" t="s">
        <v>78</v>
      </c>
      <c r="D224" s="248">
        <v>219</v>
      </c>
      <c r="E224" s="248">
        <v>1.89205</v>
      </c>
      <c r="F224" s="252">
        <f t="shared" si="12"/>
        <v>414.35894999999999</v>
      </c>
      <c r="G224" s="288"/>
      <c r="H224" s="353"/>
      <c r="I224" s="260"/>
      <c r="J224" s="252"/>
      <c r="K224" s="347"/>
      <c r="L224" s="347"/>
      <c r="M224" s="347"/>
      <c r="N224" s="341"/>
    </row>
    <row r="225" spans="1:14" s="342" customFormat="1" ht="25.5">
      <c r="A225" s="247" t="s">
        <v>186</v>
      </c>
      <c r="B225" s="250" t="s">
        <v>853</v>
      </c>
      <c r="C225" s="258" t="s">
        <v>78</v>
      </c>
      <c r="D225" s="248">
        <v>39</v>
      </c>
      <c r="E225" s="248">
        <v>2.0318000000000001</v>
      </c>
      <c r="F225" s="252">
        <f t="shared" si="12"/>
        <v>79.240200000000002</v>
      </c>
      <c r="G225" s="288"/>
      <c r="H225" s="353"/>
      <c r="I225" s="260"/>
      <c r="J225" s="252"/>
      <c r="K225" s="347"/>
      <c r="L225" s="347"/>
      <c r="M225" s="347"/>
      <c r="N225" s="341"/>
    </row>
    <row r="226" spans="1:14" s="342" customFormat="1" ht="25.5">
      <c r="A226" s="247" t="s">
        <v>188</v>
      </c>
      <c r="B226" s="250" t="s">
        <v>854</v>
      </c>
      <c r="C226" s="258" t="s">
        <v>78</v>
      </c>
      <c r="D226" s="248">
        <v>6</v>
      </c>
      <c r="E226" s="248">
        <v>3.3</v>
      </c>
      <c r="F226" s="252">
        <f t="shared" si="12"/>
        <v>19.799999999999997</v>
      </c>
      <c r="G226" s="288"/>
      <c r="H226" s="353"/>
      <c r="I226" s="260"/>
      <c r="J226" s="252"/>
      <c r="K226" s="347"/>
      <c r="L226" s="347"/>
      <c r="M226" s="347"/>
      <c r="N226" s="341"/>
    </row>
    <row r="227" spans="1:14" s="342" customFormat="1" ht="25.5">
      <c r="A227" s="247" t="s">
        <v>190</v>
      </c>
      <c r="B227" s="250" t="s">
        <v>855</v>
      </c>
      <c r="C227" s="258" t="s">
        <v>78</v>
      </c>
      <c r="D227" s="248">
        <v>81</v>
      </c>
      <c r="E227" s="248">
        <v>8.0518000000000001</v>
      </c>
      <c r="F227" s="252">
        <f t="shared" si="12"/>
        <v>652.19579999999996</v>
      </c>
      <c r="G227" s="288"/>
      <c r="H227" s="353"/>
      <c r="I227" s="260"/>
      <c r="J227" s="252"/>
      <c r="K227" s="347"/>
      <c r="L227" s="347"/>
      <c r="M227" s="347"/>
      <c r="N227" s="341"/>
    </row>
    <row r="228" spans="1:14" ht="25.5">
      <c r="A228" s="247" t="s">
        <v>192</v>
      </c>
      <c r="B228" s="250" t="s">
        <v>856</v>
      </c>
      <c r="C228" s="258" t="s">
        <v>78</v>
      </c>
      <c r="D228" s="248">
        <v>127</v>
      </c>
      <c r="E228" s="248">
        <v>17.7378</v>
      </c>
      <c r="F228" s="252">
        <f t="shared" si="12"/>
        <v>2252.7006000000001</v>
      </c>
      <c r="G228" s="288"/>
      <c r="H228" s="353"/>
      <c r="I228" s="260"/>
      <c r="J228" s="252"/>
      <c r="K228" s="276"/>
      <c r="L228" s="276"/>
      <c r="M228" s="276"/>
      <c r="N228" s="302"/>
    </row>
    <row r="229" spans="1:14" ht="25.5">
      <c r="A229" s="247" t="s">
        <v>194</v>
      </c>
      <c r="B229" s="250" t="s">
        <v>857</v>
      </c>
      <c r="C229" s="258" t="s">
        <v>78</v>
      </c>
      <c r="D229" s="248">
        <v>29</v>
      </c>
      <c r="E229" s="248">
        <v>4.5045000000000002</v>
      </c>
      <c r="F229" s="252">
        <f t="shared" si="12"/>
        <v>130.63050000000001</v>
      </c>
      <c r="G229" s="288"/>
      <c r="H229" s="353"/>
      <c r="I229" s="260"/>
      <c r="J229" s="252"/>
      <c r="K229" s="276"/>
      <c r="L229" s="276"/>
      <c r="M229" s="276"/>
      <c r="N229" s="302"/>
    </row>
    <row r="230" spans="1:14" ht="25.5">
      <c r="A230" s="247" t="s">
        <v>196</v>
      </c>
      <c r="B230" s="250" t="s">
        <v>858</v>
      </c>
      <c r="C230" s="258" t="s">
        <v>78</v>
      </c>
      <c r="D230" s="248">
        <v>7</v>
      </c>
      <c r="E230" s="248">
        <v>5.9340000000000002</v>
      </c>
      <c r="F230" s="252">
        <f t="shared" si="12"/>
        <v>41.538000000000004</v>
      </c>
      <c r="G230" s="288"/>
      <c r="H230" s="353"/>
      <c r="I230" s="260"/>
      <c r="J230" s="252"/>
      <c r="K230" s="276"/>
      <c r="L230" s="276"/>
      <c r="M230" s="276"/>
      <c r="N230" s="302"/>
    </row>
    <row r="231" spans="1:14" ht="25.5">
      <c r="A231" s="247" t="s">
        <v>198</v>
      </c>
      <c r="B231" s="250" t="s">
        <v>859</v>
      </c>
      <c r="C231" s="258" t="s">
        <v>78</v>
      </c>
      <c r="D231" s="248">
        <v>1</v>
      </c>
      <c r="E231" s="248">
        <v>9.49</v>
      </c>
      <c r="F231" s="252">
        <f t="shared" si="12"/>
        <v>9.49</v>
      </c>
      <c r="G231" s="288"/>
      <c r="H231" s="353"/>
      <c r="I231" s="260"/>
      <c r="J231" s="252"/>
      <c r="K231" s="276"/>
      <c r="L231" s="276"/>
      <c r="M231" s="276"/>
      <c r="N231" s="302"/>
    </row>
    <row r="232" spans="1:14">
      <c r="A232" s="247" t="s">
        <v>200</v>
      </c>
      <c r="B232" s="239" t="s">
        <v>972</v>
      </c>
      <c r="C232" s="348" t="s">
        <v>78</v>
      </c>
      <c r="D232" s="349">
        <v>1</v>
      </c>
      <c r="E232" s="348">
        <f>3612.15*1.3126*0.79</f>
        <v>3745.6333911000006</v>
      </c>
      <c r="F232" s="252">
        <f>D232*E232</f>
        <v>3745.6333911000006</v>
      </c>
      <c r="G232" s="288"/>
      <c r="H232" s="292"/>
      <c r="I232" s="260"/>
      <c r="J232" s="252"/>
      <c r="K232" s="276"/>
      <c r="L232" s="276"/>
      <c r="M232" s="276"/>
      <c r="N232" s="302"/>
    </row>
    <row r="233" spans="1:14">
      <c r="A233" s="520"/>
      <c r="B233" s="521"/>
      <c r="C233" s="521"/>
      <c r="D233" s="521"/>
      <c r="E233" s="521"/>
      <c r="F233" s="521"/>
      <c r="G233" s="521"/>
      <c r="H233" s="521"/>
      <c r="I233" s="521"/>
      <c r="J233" s="521"/>
      <c r="K233" s="521"/>
      <c r="L233" s="521"/>
      <c r="M233" s="522"/>
      <c r="N233" s="302"/>
    </row>
    <row r="234" spans="1:14" s="265" customFormat="1">
      <c r="A234" s="264" t="s">
        <v>860</v>
      </c>
      <c r="B234" s="514" t="s">
        <v>861</v>
      </c>
      <c r="C234" s="515"/>
      <c r="D234" s="515"/>
      <c r="E234" s="516"/>
      <c r="F234" s="268">
        <f>SUM(F235:F239)</f>
        <v>3582.9520000000002</v>
      </c>
      <c r="G234" s="287"/>
      <c r="H234" s="291"/>
      <c r="I234" s="278"/>
      <c r="J234" s="277"/>
      <c r="K234" s="277"/>
      <c r="L234" s="277"/>
      <c r="M234" s="277"/>
      <c r="N234" s="302"/>
    </row>
    <row r="235" spans="1:14" ht="25.5">
      <c r="A235" s="247" t="s">
        <v>209</v>
      </c>
      <c r="B235" s="250" t="s">
        <v>862</v>
      </c>
      <c r="C235" s="258" t="s">
        <v>78</v>
      </c>
      <c r="D235" s="248">
        <v>4</v>
      </c>
      <c r="E235" s="248">
        <v>240.18</v>
      </c>
      <c r="F235" s="252">
        <f>E235*D235</f>
        <v>960.72</v>
      </c>
      <c r="G235" s="288"/>
      <c r="H235" s="353"/>
      <c r="I235" s="260"/>
      <c r="J235" s="252"/>
      <c r="K235" s="276"/>
      <c r="L235" s="276"/>
      <c r="M235" s="276"/>
      <c r="N235" s="302"/>
    </row>
    <row r="236" spans="1:14">
      <c r="A236" s="247" t="s">
        <v>211</v>
      </c>
      <c r="B236" s="250" t="s">
        <v>863</v>
      </c>
      <c r="C236" s="258" t="s">
        <v>78</v>
      </c>
      <c r="D236" s="248">
        <v>4</v>
      </c>
      <c r="E236" s="248">
        <v>272.42</v>
      </c>
      <c r="F236" s="252">
        <f>E236*D236</f>
        <v>1089.68</v>
      </c>
      <c r="G236" s="288"/>
      <c r="H236" s="353"/>
      <c r="I236" s="260"/>
      <c r="J236" s="252"/>
      <c r="K236" s="276"/>
      <c r="L236" s="276"/>
      <c r="M236" s="276"/>
      <c r="N236" s="302"/>
    </row>
    <row r="237" spans="1:14" ht="38.25">
      <c r="A237" s="247" t="s">
        <v>213</v>
      </c>
      <c r="B237" s="250" t="s">
        <v>864</v>
      </c>
      <c r="C237" s="258" t="s">
        <v>78</v>
      </c>
      <c r="D237" s="248">
        <v>20</v>
      </c>
      <c r="E237" s="248">
        <v>32.627000000000002</v>
      </c>
      <c r="F237" s="252">
        <f>E237*D237</f>
        <v>652.54000000000008</v>
      </c>
      <c r="G237" s="288"/>
      <c r="H237" s="353"/>
      <c r="I237" s="260"/>
      <c r="J237" s="252"/>
      <c r="K237" s="276"/>
      <c r="L237" s="276"/>
      <c r="M237" s="276"/>
      <c r="N237" s="302"/>
    </row>
    <row r="238" spans="1:14" ht="25.5">
      <c r="A238" s="247" t="s">
        <v>215</v>
      </c>
      <c r="B238" s="250" t="s">
        <v>865</v>
      </c>
      <c r="C238" s="258" t="s">
        <v>78</v>
      </c>
      <c r="D238" s="248">
        <v>4</v>
      </c>
      <c r="E238" s="248">
        <v>64.878</v>
      </c>
      <c r="F238" s="252">
        <f>E238*D238</f>
        <v>259.512</v>
      </c>
      <c r="G238" s="288"/>
      <c r="H238" s="353"/>
      <c r="I238" s="260"/>
      <c r="J238" s="252"/>
      <c r="K238" s="276"/>
      <c r="L238" s="276"/>
      <c r="M238" s="276"/>
      <c r="N238" s="302"/>
    </row>
    <row r="239" spans="1:14">
      <c r="A239" s="247" t="s">
        <v>217</v>
      </c>
      <c r="B239" s="250" t="s">
        <v>866</v>
      </c>
      <c r="C239" s="258" t="s">
        <v>78</v>
      </c>
      <c r="D239" s="248">
        <v>20</v>
      </c>
      <c r="E239" s="248">
        <v>31.024999999999999</v>
      </c>
      <c r="F239" s="252">
        <f>E239*D239</f>
        <v>620.5</v>
      </c>
      <c r="G239" s="288"/>
      <c r="H239" s="353"/>
      <c r="I239" s="260"/>
      <c r="J239" s="252"/>
      <c r="K239" s="276"/>
      <c r="L239" s="276"/>
      <c r="M239" s="276"/>
      <c r="N239" s="302"/>
    </row>
    <row r="240" spans="1:14">
      <c r="A240" s="520"/>
      <c r="B240" s="521"/>
      <c r="C240" s="521"/>
      <c r="D240" s="521"/>
      <c r="E240" s="521"/>
      <c r="F240" s="521"/>
      <c r="G240" s="521"/>
      <c r="H240" s="521"/>
      <c r="I240" s="521"/>
      <c r="J240" s="521"/>
      <c r="K240" s="521"/>
      <c r="L240" s="521"/>
      <c r="M240" s="522"/>
      <c r="N240" s="302"/>
    </row>
    <row r="241" spans="1:14" s="265" customFormat="1">
      <c r="A241" s="264" t="s">
        <v>867</v>
      </c>
      <c r="B241" s="514" t="s">
        <v>868</v>
      </c>
      <c r="C241" s="515"/>
      <c r="D241" s="515"/>
      <c r="E241" s="516"/>
      <c r="F241" s="268">
        <f>SUM(F242:F245)-0.01</f>
        <v>55994.050984000001</v>
      </c>
      <c r="G241" s="287"/>
      <c r="H241" s="291"/>
      <c r="I241" s="278"/>
      <c r="J241" s="277"/>
      <c r="K241" s="277"/>
      <c r="L241" s="277"/>
      <c r="M241" s="277"/>
      <c r="N241" s="302"/>
    </row>
    <row r="242" spans="1:14" ht="38.25">
      <c r="A242" s="247" t="s">
        <v>252</v>
      </c>
      <c r="B242" s="250" t="s">
        <v>869</v>
      </c>
      <c r="C242" s="258" t="s">
        <v>8</v>
      </c>
      <c r="D242" s="248">
        <v>1953.3</v>
      </c>
      <c r="E242" s="248">
        <v>3.085305</v>
      </c>
      <c r="F242" s="252">
        <f>E242*D242</f>
        <v>6026.5262564999994</v>
      </c>
      <c r="G242" s="288"/>
      <c r="H242" s="353"/>
      <c r="I242" s="260"/>
      <c r="J242" s="252"/>
      <c r="K242" s="276"/>
      <c r="L242" s="276"/>
      <c r="M242" s="276"/>
      <c r="N242" s="302"/>
    </row>
    <row r="243" spans="1:14" ht="51">
      <c r="A243" s="247" t="s">
        <v>254</v>
      </c>
      <c r="B243" s="250" t="s">
        <v>870</v>
      </c>
      <c r="C243" s="258" t="s">
        <v>8</v>
      </c>
      <c r="D243" s="248">
        <v>1702.5</v>
      </c>
      <c r="E243" s="248">
        <v>16.759554999999999</v>
      </c>
      <c r="F243" s="252">
        <f>E243*D243</f>
        <v>28533.142387499996</v>
      </c>
      <c r="G243" s="288"/>
      <c r="H243" s="353"/>
      <c r="I243" s="260"/>
      <c r="J243" s="252"/>
      <c r="K243" s="276"/>
      <c r="L243" s="276"/>
      <c r="M243" s="276"/>
      <c r="N243" s="302"/>
    </row>
    <row r="244" spans="1:14" ht="38.25">
      <c r="A244" s="247" t="s">
        <v>256</v>
      </c>
      <c r="B244" s="250" t="s">
        <v>871</v>
      </c>
      <c r="C244" s="258" t="s">
        <v>8</v>
      </c>
      <c r="D244" s="248">
        <v>250.8</v>
      </c>
      <c r="E244" s="248">
        <v>70.3</v>
      </c>
      <c r="F244" s="252">
        <f>E244*D244-1.12</f>
        <v>17630.120000000003</v>
      </c>
      <c r="G244" s="288"/>
      <c r="H244" s="353"/>
      <c r="I244" s="260"/>
      <c r="J244" s="252"/>
      <c r="K244" s="276"/>
      <c r="L244" s="276"/>
      <c r="M244" s="276"/>
      <c r="N244" s="302"/>
    </row>
    <row r="245" spans="1:14" ht="51">
      <c r="A245" s="247" t="s">
        <v>258</v>
      </c>
      <c r="B245" s="250" t="s">
        <v>872</v>
      </c>
      <c r="C245" s="258" t="s">
        <v>8</v>
      </c>
      <c r="D245" s="248">
        <v>250.8</v>
      </c>
      <c r="E245" s="248">
        <v>15.16855</v>
      </c>
      <c r="F245" s="252">
        <f>E245*D245</f>
        <v>3804.27234</v>
      </c>
      <c r="G245" s="288"/>
      <c r="H245" s="353"/>
      <c r="I245" s="260"/>
      <c r="J245" s="252"/>
      <c r="K245" s="276"/>
      <c r="L245" s="276"/>
      <c r="M245" s="276"/>
      <c r="N245" s="302"/>
    </row>
    <row r="246" spans="1:14">
      <c r="A246" s="520"/>
      <c r="B246" s="521"/>
      <c r="C246" s="521"/>
      <c r="D246" s="521"/>
      <c r="E246" s="521"/>
      <c r="F246" s="521"/>
      <c r="G246" s="521"/>
      <c r="H246" s="521"/>
      <c r="I246" s="521"/>
      <c r="J246" s="521"/>
      <c r="K246" s="521"/>
      <c r="L246" s="521"/>
      <c r="M246" s="522"/>
      <c r="N246" s="302"/>
    </row>
    <row r="247" spans="1:14" s="265" customFormat="1">
      <c r="A247" s="264" t="s">
        <v>538</v>
      </c>
      <c r="B247" s="514" t="s">
        <v>547</v>
      </c>
      <c r="C247" s="515"/>
      <c r="D247" s="515"/>
      <c r="E247" s="516"/>
      <c r="F247" s="268">
        <f>SUM(F248:F254)</f>
        <v>120643.95360669999</v>
      </c>
      <c r="G247" s="287"/>
      <c r="H247" s="291"/>
      <c r="I247" s="278"/>
      <c r="J247" s="277"/>
      <c r="K247" s="277"/>
      <c r="L247" s="277"/>
      <c r="M247" s="277"/>
      <c r="N247" s="302"/>
    </row>
    <row r="248" spans="1:14" ht="25.5">
      <c r="A248" s="247" t="s">
        <v>263</v>
      </c>
      <c r="B248" s="250" t="s">
        <v>873</v>
      </c>
      <c r="C248" s="258" t="s">
        <v>8</v>
      </c>
      <c r="D248" s="248">
        <v>470.34</v>
      </c>
      <c r="E248" s="248">
        <v>23.381679999999999</v>
      </c>
      <c r="F248" s="252">
        <f t="shared" ref="F248:F253" si="13">E248*D248</f>
        <v>10997.3393712</v>
      </c>
      <c r="G248" s="288"/>
      <c r="H248" s="353"/>
      <c r="I248" s="260"/>
      <c r="J248" s="252"/>
      <c r="K248" s="276"/>
      <c r="L248" s="276"/>
      <c r="M248" s="276"/>
      <c r="N248" s="302"/>
    </row>
    <row r="249" spans="1:14" ht="25.5">
      <c r="A249" s="247" t="s">
        <v>265</v>
      </c>
      <c r="B249" s="250" t="s">
        <v>874</v>
      </c>
      <c r="C249" s="258" t="s">
        <v>8</v>
      </c>
      <c r="D249" s="248">
        <v>383.54</v>
      </c>
      <c r="E249" s="248">
        <v>119.6819</v>
      </c>
      <c r="F249" s="252">
        <f t="shared" si="13"/>
        <v>45902.795925999999</v>
      </c>
      <c r="G249" s="288"/>
      <c r="H249" s="353"/>
      <c r="I249" s="260"/>
      <c r="J249" s="252"/>
      <c r="K249" s="276"/>
      <c r="L249" s="276"/>
      <c r="M249" s="276"/>
      <c r="N249" s="302"/>
    </row>
    <row r="250" spans="1:14" ht="25.5">
      <c r="A250" s="247" t="s">
        <v>267</v>
      </c>
      <c r="B250" s="250" t="s">
        <v>875</v>
      </c>
      <c r="C250" s="258" t="s">
        <v>8</v>
      </c>
      <c r="D250" s="248">
        <v>413.3</v>
      </c>
      <c r="E250" s="248">
        <v>55.7</v>
      </c>
      <c r="F250" s="252">
        <f>E250*D250-1.34</f>
        <v>23019.47</v>
      </c>
      <c r="G250" s="288"/>
      <c r="H250" s="353"/>
      <c r="I250" s="260"/>
      <c r="J250" s="252"/>
      <c r="K250" s="276"/>
      <c r="L250" s="276"/>
      <c r="M250" s="276"/>
      <c r="N250" s="302"/>
    </row>
    <row r="251" spans="1:14" ht="38.25">
      <c r="A251" s="247" t="s">
        <v>269</v>
      </c>
      <c r="B251" s="250" t="s">
        <v>876</v>
      </c>
      <c r="C251" s="258" t="s">
        <v>23</v>
      </c>
      <c r="D251" s="248">
        <v>57.08</v>
      </c>
      <c r="E251" s="248">
        <v>602.33339999999998</v>
      </c>
      <c r="F251" s="252">
        <f t="shared" si="13"/>
        <v>34381.190471999995</v>
      </c>
      <c r="G251" s="288"/>
      <c r="H251" s="353"/>
      <c r="I251" s="260"/>
      <c r="J251" s="252"/>
      <c r="K251" s="276"/>
      <c r="L251" s="276"/>
      <c r="M251" s="276"/>
      <c r="N251" s="302"/>
    </row>
    <row r="252" spans="1:14">
      <c r="A252" s="247" t="s">
        <v>271</v>
      </c>
      <c r="B252" s="250" t="s">
        <v>877</v>
      </c>
      <c r="C252" s="258" t="s">
        <v>8</v>
      </c>
      <c r="D252" s="248">
        <v>5.71</v>
      </c>
      <c r="E252" s="248">
        <v>54.9328</v>
      </c>
      <c r="F252" s="252">
        <f t="shared" si="13"/>
        <v>313.66628800000001</v>
      </c>
      <c r="G252" s="288"/>
      <c r="H252" s="353"/>
      <c r="I252" s="260"/>
      <c r="J252" s="252"/>
      <c r="K252" s="276"/>
      <c r="L252" s="276"/>
      <c r="M252" s="276"/>
      <c r="N252" s="302"/>
    </row>
    <row r="253" spans="1:14" ht="51">
      <c r="A253" s="247" t="s">
        <v>273</v>
      </c>
      <c r="B253" s="250" t="s">
        <v>878</v>
      </c>
      <c r="C253" s="258" t="s">
        <v>105</v>
      </c>
      <c r="D253" s="248">
        <v>131.97</v>
      </c>
      <c r="E253" s="248">
        <v>45.68835</v>
      </c>
      <c r="F253" s="252">
        <f t="shared" si="13"/>
        <v>6029.4915494999996</v>
      </c>
      <c r="G253" s="288"/>
      <c r="H253" s="353"/>
      <c r="I253" s="260"/>
      <c r="J253" s="252"/>
      <c r="K253" s="276"/>
      <c r="L253" s="276"/>
      <c r="M253" s="276"/>
      <c r="N253" s="302"/>
    </row>
    <row r="254" spans="1:14">
      <c r="A254" s="520"/>
      <c r="B254" s="521"/>
      <c r="C254" s="521"/>
      <c r="D254" s="521"/>
      <c r="E254" s="521"/>
      <c r="F254" s="521"/>
      <c r="G254" s="521"/>
      <c r="H254" s="521"/>
      <c r="I254" s="521"/>
      <c r="J254" s="521"/>
      <c r="K254" s="521"/>
      <c r="L254" s="521"/>
      <c r="M254" s="522"/>
      <c r="N254" s="302"/>
    </row>
    <row r="255" spans="1:14" s="265" customFormat="1">
      <c r="A255" s="264" t="s">
        <v>879</v>
      </c>
      <c r="B255" s="514" t="s">
        <v>108</v>
      </c>
      <c r="C255" s="515"/>
      <c r="D255" s="515"/>
      <c r="E255" s="516"/>
      <c r="F255" s="268">
        <f>SUM(F256,F260)</f>
        <v>44034.312810000003</v>
      </c>
      <c r="G255" s="287"/>
      <c r="H255" s="291"/>
      <c r="I255" s="278"/>
      <c r="J255" s="277"/>
      <c r="K255" s="277"/>
      <c r="L255" s="277"/>
      <c r="M255" s="279"/>
      <c r="N255" s="302"/>
    </row>
    <row r="256" spans="1:14">
      <c r="A256" s="253" t="s">
        <v>324</v>
      </c>
      <c r="B256" s="254" t="s">
        <v>880</v>
      </c>
      <c r="C256" s="253"/>
      <c r="D256" s="255"/>
      <c r="E256" s="345"/>
      <c r="F256" s="351">
        <f>SUM(F257:F259)+0.01</f>
        <v>41912.05285</v>
      </c>
      <c r="G256" s="288"/>
      <c r="H256" s="292"/>
      <c r="I256" s="260"/>
      <c r="J256" s="276"/>
      <c r="K256" s="276"/>
      <c r="L256" s="276"/>
      <c r="M256" s="239"/>
      <c r="N256" s="302"/>
    </row>
    <row r="257" spans="1:14" ht="25.5">
      <c r="A257" s="247" t="s">
        <v>881</v>
      </c>
      <c r="B257" s="250" t="s">
        <v>882</v>
      </c>
      <c r="C257" s="247" t="s">
        <v>8</v>
      </c>
      <c r="D257" s="248">
        <v>1702.5</v>
      </c>
      <c r="E257" s="248">
        <v>2.2575400000000001</v>
      </c>
      <c r="F257" s="252">
        <f t="shared" ref="F257:F262" si="14">E257*D257</f>
        <v>3843.4618500000001</v>
      </c>
      <c r="G257" s="288"/>
      <c r="H257" s="353"/>
      <c r="I257" s="260"/>
      <c r="J257" s="252"/>
      <c r="K257" s="276"/>
      <c r="L257" s="276"/>
      <c r="M257" s="239"/>
      <c r="N257" s="302"/>
    </row>
    <row r="258" spans="1:14" ht="25.5">
      <c r="A258" s="247" t="s">
        <v>883</v>
      </c>
      <c r="B258" s="250" t="s">
        <v>884</v>
      </c>
      <c r="C258" s="258" t="s">
        <v>8</v>
      </c>
      <c r="D258" s="248">
        <v>1702.5</v>
      </c>
      <c r="E258" s="248">
        <v>11.23395</v>
      </c>
      <c r="F258" s="252">
        <f t="shared" si="14"/>
        <v>19125.799875000001</v>
      </c>
      <c r="G258" s="288"/>
      <c r="H258" s="353"/>
      <c r="I258" s="260"/>
      <c r="J258" s="252"/>
      <c r="K258" s="276"/>
      <c r="L258" s="276"/>
      <c r="M258" s="239"/>
      <c r="N258" s="302"/>
    </row>
    <row r="259" spans="1:14" ht="25.5">
      <c r="A259" s="247" t="s">
        <v>885</v>
      </c>
      <c r="B259" s="250" t="s">
        <v>886</v>
      </c>
      <c r="C259" s="258" t="s">
        <v>8</v>
      </c>
      <c r="D259" s="248">
        <v>1702.5</v>
      </c>
      <c r="E259" s="248">
        <v>11.12645</v>
      </c>
      <c r="F259" s="252">
        <f t="shared" si="14"/>
        <v>18942.781125000001</v>
      </c>
      <c r="G259" s="288"/>
      <c r="H259" s="353"/>
      <c r="I259" s="260"/>
      <c r="J259" s="252"/>
      <c r="K259" s="276"/>
      <c r="L259" s="276"/>
      <c r="M259" s="239"/>
      <c r="N259" s="302"/>
    </row>
    <row r="260" spans="1:14">
      <c r="A260" s="253" t="s">
        <v>326</v>
      </c>
      <c r="B260" s="254" t="s">
        <v>887</v>
      </c>
      <c r="C260" s="253"/>
      <c r="D260" s="255"/>
      <c r="E260" s="345"/>
      <c r="F260" s="350">
        <f>SUM(F261:F262)</f>
        <v>2122.2599600000003</v>
      </c>
      <c r="G260" s="288"/>
      <c r="H260" s="353"/>
      <c r="I260" s="260"/>
      <c r="J260" s="252"/>
      <c r="K260" s="276"/>
      <c r="L260" s="276"/>
      <c r="M260" s="239"/>
      <c r="N260" s="302"/>
    </row>
    <row r="261" spans="1:14">
      <c r="A261" s="247" t="s">
        <v>888</v>
      </c>
      <c r="B261" s="250" t="s">
        <v>889</v>
      </c>
      <c r="C261" s="258" t="s">
        <v>8</v>
      </c>
      <c r="D261" s="248">
        <v>6.12</v>
      </c>
      <c r="E261" s="248">
        <v>21.736999999999998</v>
      </c>
      <c r="F261" s="252">
        <f t="shared" si="14"/>
        <v>133.03044</v>
      </c>
      <c r="G261" s="288"/>
      <c r="H261" s="353"/>
      <c r="I261" s="260"/>
      <c r="J261" s="252"/>
      <c r="K261" s="276"/>
      <c r="L261" s="276"/>
      <c r="M261" s="239"/>
      <c r="N261" s="302"/>
    </row>
    <row r="262" spans="1:14">
      <c r="A262" s="247" t="s">
        <v>888</v>
      </c>
      <c r="B262" s="250" t="s">
        <v>890</v>
      </c>
      <c r="C262" s="258" t="s">
        <v>8</v>
      </c>
      <c r="D262" s="248">
        <v>136.16</v>
      </c>
      <c r="E262" s="248">
        <v>14.609500000000001</v>
      </c>
      <c r="F262" s="252">
        <f t="shared" si="14"/>
        <v>1989.2295200000001</v>
      </c>
      <c r="G262" s="288"/>
      <c r="H262" s="353"/>
      <c r="I262" s="260"/>
      <c r="J262" s="252"/>
      <c r="K262" s="276"/>
      <c r="L262" s="276"/>
      <c r="M262" s="239"/>
      <c r="N262" s="302"/>
    </row>
    <row r="263" spans="1:14">
      <c r="A263" s="520"/>
      <c r="B263" s="521"/>
      <c r="C263" s="521"/>
      <c r="D263" s="521"/>
      <c r="E263" s="521"/>
      <c r="F263" s="521"/>
      <c r="G263" s="521"/>
      <c r="H263" s="521"/>
      <c r="I263" s="521"/>
      <c r="J263" s="521"/>
      <c r="K263" s="521"/>
      <c r="L263" s="521"/>
      <c r="M263" s="522"/>
      <c r="N263" s="302"/>
    </row>
    <row r="264" spans="1:14" s="265" customFormat="1">
      <c r="A264" s="264" t="s">
        <v>891</v>
      </c>
      <c r="B264" s="514" t="s">
        <v>892</v>
      </c>
      <c r="C264" s="515"/>
      <c r="D264" s="515"/>
      <c r="E264" s="516"/>
      <c r="F264" s="268">
        <f>SUM(F265:F267)+0.01</f>
        <v>2050.7917054999998</v>
      </c>
      <c r="G264" s="287"/>
      <c r="H264" s="291"/>
      <c r="I264" s="278"/>
      <c r="J264" s="277"/>
      <c r="K264" s="277"/>
      <c r="L264" s="277"/>
      <c r="M264" s="279"/>
      <c r="N264" s="302"/>
    </row>
    <row r="265" spans="1:14">
      <c r="A265" s="247" t="s">
        <v>337</v>
      </c>
      <c r="B265" s="250" t="s">
        <v>893</v>
      </c>
      <c r="C265" s="258" t="s">
        <v>23</v>
      </c>
      <c r="D265" s="235">
        <v>27.81</v>
      </c>
      <c r="E265" s="248">
        <v>20.683299999999999</v>
      </c>
      <c r="F265" s="252">
        <f>E265*D265</f>
        <v>575.20257299999992</v>
      </c>
      <c r="G265" s="288"/>
      <c r="H265" s="353"/>
      <c r="I265" s="260"/>
      <c r="J265" s="252"/>
      <c r="K265" s="276"/>
      <c r="L265" s="276"/>
      <c r="M265" s="239"/>
      <c r="N265" s="302"/>
    </row>
    <row r="266" spans="1:14" ht="25.5">
      <c r="A266" s="247" t="s">
        <v>339</v>
      </c>
      <c r="B266" s="250" t="s">
        <v>894</v>
      </c>
      <c r="C266" s="258" t="s">
        <v>78</v>
      </c>
      <c r="D266" s="235">
        <v>2</v>
      </c>
      <c r="E266" s="248">
        <v>208.13489999999999</v>
      </c>
      <c r="F266" s="252">
        <f>E266*D266</f>
        <v>416.26979999999998</v>
      </c>
      <c r="G266" s="288"/>
      <c r="H266" s="353"/>
      <c r="I266" s="260"/>
      <c r="J266" s="252"/>
      <c r="K266" s="276"/>
      <c r="L266" s="276"/>
      <c r="M266" s="239"/>
      <c r="N266" s="302"/>
    </row>
    <row r="267" spans="1:14">
      <c r="A267" s="247" t="s">
        <v>341</v>
      </c>
      <c r="B267" s="250" t="s">
        <v>895</v>
      </c>
      <c r="C267" s="258" t="s">
        <v>23</v>
      </c>
      <c r="D267" s="235">
        <v>502.75</v>
      </c>
      <c r="E267" s="248">
        <v>2.10703</v>
      </c>
      <c r="F267" s="252">
        <f>E267*D267</f>
        <v>1059.3093325</v>
      </c>
      <c r="G267" s="288"/>
      <c r="H267" s="353"/>
      <c r="I267" s="260"/>
      <c r="J267" s="252"/>
      <c r="K267" s="276"/>
      <c r="L267" s="276"/>
      <c r="M267" s="239"/>
      <c r="N267" s="302"/>
    </row>
    <row r="268" spans="1:14">
      <c r="L268" s="263"/>
    </row>
    <row r="269" spans="1:14">
      <c r="L269" s="263"/>
    </row>
  </sheetData>
  <autoFilter ref="A15:M269"/>
  <mergeCells count="58">
    <mergeCell ref="A2:B2"/>
    <mergeCell ref="A3:B3"/>
    <mergeCell ref="A4:B4"/>
    <mergeCell ref="L13:M13"/>
    <mergeCell ref="A13:K13"/>
    <mergeCell ref="A11:E11"/>
    <mergeCell ref="L11:M11"/>
    <mergeCell ref="A12:E12"/>
    <mergeCell ref="F12:K12"/>
    <mergeCell ref="L9:M9"/>
    <mergeCell ref="A10:E10"/>
    <mergeCell ref="L10:M10"/>
    <mergeCell ref="H9:J9"/>
    <mergeCell ref="H10:J10"/>
    <mergeCell ref="A9:E9"/>
    <mergeCell ref="H7:J7"/>
    <mergeCell ref="H8:J8"/>
    <mergeCell ref="A6:J6"/>
    <mergeCell ref="A7:E7"/>
    <mergeCell ref="L7:M7"/>
    <mergeCell ref="A8:E8"/>
    <mergeCell ref="L8:M8"/>
    <mergeCell ref="A104:M104"/>
    <mergeCell ref="A100:M100"/>
    <mergeCell ref="A118:M118"/>
    <mergeCell ref="A156:M156"/>
    <mergeCell ref="A193:M193"/>
    <mergeCell ref="B119:E119"/>
    <mergeCell ref="B101:E101"/>
    <mergeCell ref="B105:E105"/>
    <mergeCell ref="B264:E264"/>
    <mergeCell ref="B234:E234"/>
    <mergeCell ref="B241:E241"/>
    <mergeCell ref="B194:E194"/>
    <mergeCell ref="B157:E157"/>
    <mergeCell ref="A240:M240"/>
    <mergeCell ref="A233:M233"/>
    <mergeCell ref="A263:M263"/>
    <mergeCell ref="A254:M254"/>
    <mergeCell ref="A246:M246"/>
    <mergeCell ref="B247:E247"/>
    <mergeCell ref="B255:E255"/>
    <mergeCell ref="F11:K11"/>
    <mergeCell ref="B89:E89"/>
    <mergeCell ref="B51:E51"/>
    <mergeCell ref="B26:E26"/>
    <mergeCell ref="B22:E22"/>
    <mergeCell ref="B16:E16"/>
    <mergeCell ref="A21:M21"/>
    <mergeCell ref="A25:M25"/>
    <mergeCell ref="A50:M50"/>
    <mergeCell ref="A85:M85"/>
    <mergeCell ref="A88:M88"/>
    <mergeCell ref="B86:E86"/>
    <mergeCell ref="G14:I14"/>
    <mergeCell ref="L12:M12"/>
    <mergeCell ref="K14:M14"/>
    <mergeCell ref="C14:F14"/>
  </mergeCells>
  <printOptions horizontalCentered="1"/>
  <pageMargins left="0" right="0.19685039370078741" top="0.78740157480314965" bottom="0" header="0" footer="0.19685039370078741"/>
  <pageSetup paperSize="9" scale="74" fitToHeight="0" orientation="landscape" horizontalDpi="4294967293" verticalDpi="4294967293" r:id="rId1"/>
  <rowBreaks count="7" manualBreakCount="7">
    <brk id="35" max="12" man="1"/>
    <brk id="85" max="15" man="1"/>
    <brk id="104" max="12" man="1"/>
    <brk id="167" max="12" man="1"/>
    <brk id="213" max="15" man="1"/>
    <brk id="233" max="12" man="1"/>
    <brk id="25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76"/>
  <sheetViews>
    <sheetView tabSelected="1" view="pageBreakPreview" topLeftCell="D7" zoomScaleSheetLayoutView="100" workbookViewId="0">
      <pane ySplit="1980" topLeftCell="A218"/>
      <selection activeCell="K15" sqref="K15"/>
      <selection pane="bottomLeft" activeCell="G272" sqref="G272:L273"/>
    </sheetView>
  </sheetViews>
  <sheetFormatPr defaultColWidth="9.140625" defaultRowHeight="12.75"/>
  <cols>
    <col min="1" max="1" width="6.42578125" style="238" customWidth="1"/>
    <col min="2" max="2" width="49.42578125" style="238" customWidth="1"/>
    <col min="3" max="3" width="9.42578125" style="238" customWidth="1"/>
    <col min="4" max="4" width="11.5703125" style="262" customWidth="1"/>
    <col min="5" max="5" width="12" style="343" customWidth="1"/>
    <col min="6" max="6" width="24.28515625" style="261" customWidth="1"/>
    <col min="7" max="7" width="12.5703125" style="289" customWidth="1"/>
    <col min="8" max="8" width="13.42578125" style="293" bestFit="1" customWidth="1"/>
    <col min="9" max="9" width="11.28515625" style="290" customWidth="1"/>
    <col min="10" max="10" width="5.5703125" style="286" hidden="1" customWidth="1"/>
    <col min="11" max="11" width="17.5703125" style="261" customWidth="1"/>
    <col min="12" max="12" width="19.42578125" style="301" customWidth="1"/>
    <col min="13" max="13" width="22.28515625" style="238" customWidth="1"/>
    <col min="14" max="14" width="19" style="238" customWidth="1"/>
    <col min="15" max="15" width="15.42578125" style="238" customWidth="1"/>
    <col min="16" max="16" width="10.28515625" style="238" bestFit="1" customWidth="1"/>
    <col min="17" max="16384" width="9.140625" style="238"/>
  </cols>
  <sheetData>
    <row r="2" spans="1:16" ht="14.25" customHeight="1">
      <c r="A2" s="547" t="s">
        <v>552</v>
      </c>
      <c r="B2" s="547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28"/>
      <c r="O2" s="228"/>
      <c r="P2" s="228"/>
    </row>
    <row r="3" spans="1:16" ht="14.25" customHeight="1">
      <c r="A3" s="547" t="s">
        <v>556</v>
      </c>
      <c r="B3" s="547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28"/>
      <c r="O3" s="228"/>
      <c r="P3" s="228"/>
    </row>
    <row r="4" spans="1:16" ht="14.25" customHeight="1">
      <c r="A4" s="547" t="s">
        <v>898</v>
      </c>
      <c r="B4" s="547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28"/>
      <c r="O4" s="228"/>
      <c r="P4" s="228"/>
    </row>
    <row r="5" spans="1:16" ht="13.5" thickBot="1"/>
    <row r="6" spans="1:16" ht="29.25" customHeight="1">
      <c r="A6" s="535" t="s">
        <v>396</v>
      </c>
      <c r="B6" s="536"/>
      <c r="C6" s="536"/>
      <c r="D6" s="536"/>
      <c r="E6" s="536"/>
      <c r="F6" s="536"/>
      <c r="G6" s="536"/>
      <c r="H6" s="586"/>
      <c r="I6" s="586"/>
      <c r="J6" s="586"/>
      <c r="K6" s="236"/>
      <c r="L6" s="300"/>
      <c r="M6" s="237"/>
    </row>
    <row r="7" spans="1:16" ht="26.25" customHeight="1">
      <c r="A7" s="537" t="s">
        <v>370</v>
      </c>
      <c r="B7" s="538"/>
      <c r="C7" s="538"/>
      <c r="D7" s="538"/>
      <c r="E7" s="539"/>
      <c r="F7" s="240" t="s">
        <v>371</v>
      </c>
      <c r="G7" s="241" t="s">
        <v>372</v>
      </c>
      <c r="H7" s="557" t="s">
        <v>373</v>
      </c>
      <c r="I7" s="558"/>
      <c r="J7" s="558"/>
      <c r="K7" s="559"/>
      <c r="L7" s="540" t="s">
        <v>374</v>
      </c>
      <c r="M7" s="541"/>
    </row>
    <row r="8" spans="1:16" ht="14.25" customHeight="1">
      <c r="A8" s="542" t="s">
        <v>556</v>
      </c>
      <c r="B8" s="543"/>
      <c r="C8" s="543"/>
      <c r="D8" s="543"/>
      <c r="E8" s="544"/>
      <c r="F8" s="242">
        <v>5</v>
      </c>
      <c r="G8" s="455">
        <v>44742</v>
      </c>
      <c r="H8" s="580" t="s">
        <v>975</v>
      </c>
      <c r="I8" s="581"/>
      <c r="J8" s="581"/>
      <c r="K8" s="582"/>
      <c r="L8" s="578">
        <v>43865</v>
      </c>
      <c r="M8" s="579"/>
    </row>
    <row r="9" spans="1:16" ht="24.75" customHeight="1">
      <c r="A9" s="537" t="s">
        <v>375</v>
      </c>
      <c r="B9" s="538"/>
      <c r="C9" s="538"/>
      <c r="D9" s="538"/>
      <c r="E9" s="539"/>
      <c r="F9" s="240" t="s">
        <v>376</v>
      </c>
      <c r="G9" s="241" t="s">
        <v>377</v>
      </c>
      <c r="H9" s="557" t="s">
        <v>378</v>
      </c>
      <c r="I9" s="558"/>
      <c r="J9" s="558"/>
      <c r="K9" s="559"/>
      <c r="L9" s="540" t="s">
        <v>379</v>
      </c>
      <c r="M9" s="541"/>
      <c r="N9" s="450"/>
    </row>
    <row r="10" spans="1:16" ht="15" customHeight="1">
      <c r="A10" s="542" t="s">
        <v>539</v>
      </c>
      <c r="B10" s="543"/>
      <c r="C10" s="543"/>
      <c r="D10" s="543"/>
      <c r="E10" s="544"/>
      <c r="F10" s="243" t="s">
        <v>540</v>
      </c>
      <c r="G10" s="447">
        <v>43866</v>
      </c>
      <c r="H10" s="575">
        <v>44922</v>
      </c>
      <c r="I10" s="576"/>
      <c r="J10" s="576"/>
      <c r="K10" s="577"/>
      <c r="L10" s="578" t="s">
        <v>558</v>
      </c>
      <c r="M10" s="579"/>
    </row>
    <row r="11" spans="1:16" ht="13.5" customHeight="1">
      <c r="A11" s="537" t="s">
        <v>380</v>
      </c>
      <c r="B11" s="538"/>
      <c r="C11" s="538"/>
      <c r="D11" s="538"/>
      <c r="E11" s="539"/>
      <c r="F11" s="511" t="s">
        <v>381</v>
      </c>
      <c r="G11" s="512"/>
      <c r="H11" s="512"/>
      <c r="I11" s="512"/>
      <c r="J11" s="512"/>
      <c r="K11" s="513"/>
      <c r="L11" s="540" t="s">
        <v>382</v>
      </c>
      <c r="M11" s="541"/>
    </row>
    <row r="12" spans="1:16" ht="27" customHeight="1">
      <c r="A12" s="587" t="s">
        <v>557</v>
      </c>
      <c r="B12" s="588"/>
      <c r="C12" s="588"/>
      <c r="D12" s="588"/>
      <c r="E12" s="589"/>
      <c r="F12" s="569" t="s">
        <v>897</v>
      </c>
      <c r="G12" s="570"/>
      <c r="H12" s="570"/>
      <c r="I12" s="570"/>
      <c r="J12" s="570"/>
      <c r="K12" s="571"/>
      <c r="L12" s="526">
        <f>SUM(F16,F22,F26,F51,F86,F89,F101,F105,F119,F157,F194,F234,F241,F247,F255,F264)-0.01</f>
        <v>835483.47344300011</v>
      </c>
      <c r="M12" s="527"/>
      <c r="N12" s="450"/>
    </row>
    <row r="13" spans="1:16" ht="16.5" customHeight="1">
      <c r="A13" s="572" t="s">
        <v>394</v>
      </c>
      <c r="B13" s="573"/>
      <c r="C13" s="573"/>
      <c r="D13" s="573"/>
      <c r="E13" s="573"/>
      <c r="F13" s="573"/>
      <c r="G13" s="573"/>
      <c r="H13" s="573"/>
      <c r="I13" s="573"/>
      <c r="J13" s="573"/>
      <c r="K13" s="574"/>
      <c r="L13" s="526">
        <f>L268</f>
        <v>39862.375447300001</v>
      </c>
      <c r="M13" s="527"/>
      <c r="N13" s="304"/>
    </row>
    <row r="14" spans="1:16" ht="14.25" customHeight="1">
      <c r="A14" s="282"/>
      <c r="B14" s="280"/>
      <c r="C14" s="528" t="s">
        <v>387</v>
      </c>
      <c r="D14" s="529"/>
      <c r="E14" s="529"/>
      <c r="F14" s="531"/>
      <c r="G14" s="523" t="s">
        <v>906</v>
      </c>
      <c r="H14" s="524"/>
      <c r="I14" s="525"/>
      <c r="J14" s="244"/>
      <c r="K14" s="528" t="s">
        <v>390</v>
      </c>
      <c r="L14" s="529"/>
      <c r="M14" s="530"/>
    </row>
    <row r="15" spans="1:16" ht="51" customHeight="1">
      <c r="A15" s="321" t="s">
        <v>0</v>
      </c>
      <c r="B15" s="281" t="s">
        <v>1</v>
      </c>
      <c r="C15" s="269" t="s">
        <v>2</v>
      </c>
      <c r="D15" s="269" t="s">
        <v>3</v>
      </c>
      <c r="E15" s="270" t="s">
        <v>384</v>
      </c>
      <c r="F15" s="270" t="s">
        <v>4</v>
      </c>
      <c r="G15" s="272" t="s">
        <v>392</v>
      </c>
      <c r="H15" s="272" t="s">
        <v>385</v>
      </c>
      <c r="I15" s="272" t="s">
        <v>386</v>
      </c>
      <c r="J15" s="271" t="s">
        <v>401</v>
      </c>
      <c r="K15" s="270" t="s">
        <v>388</v>
      </c>
      <c r="L15" s="271" t="s">
        <v>385</v>
      </c>
      <c r="M15" s="273" t="s">
        <v>389</v>
      </c>
    </row>
    <row r="16" spans="1:16" s="420" customFormat="1" ht="18">
      <c r="A16" s="421" t="s">
        <v>541</v>
      </c>
      <c r="B16" s="566" t="s">
        <v>5</v>
      </c>
      <c r="C16" s="567"/>
      <c r="D16" s="567"/>
      <c r="E16" s="568"/>
      <c r="F16" s="385">
        <f>SUM(F17:F20)</f>
        <v>12655.240407999998</v>
      </c>
      <c r="G16" s="386"/>
      <c r="H16" s="387"/>
      <c r="I16" s="388"/>
      <c r="J16" s="389"/>
      <c r="K16" s="422">
        <f>SUM(K17:K20)</f>
        <v>10730.522008</v>
      </c>
      <c r="L16" s="423"/>
      <c r="M16" s="423">
        <f>SUM(M17:M20)</f>
        <v>10730.522008</v>
      </c>
      <c r="N16" s="424"/>
    </row>
    <row r="17" spans="1:16" s="284" customFormat="1" ht="25.5">
      <c r="A17" s="245" t="s">
        <v>6</v>
      </c>
      <c r="B17" s="246" t="s">
        <v>559</v>
      </c>
      <c r="C17" s="247" t="s">
        <v>105</v>
      </c>
      <c r="D17" s="248">
        <v>134</v>
      </c>
      <c r="E17" s="248">
        <v>34.572600000000001</v>
      </c>
      <c r="F17" s="252">
        <f>E17*D17</f>
        <v>4632.7284</v>
      </c>
      <c r="G17" s="356">
        <v>134</v>
      </c>
      <c r="H17" s="292"/>
      <c r="I17" s="355">
        <v>134</v>
      </c>
      <c r="J17" s="252"/>
      <c r="K17" s="362">
        <v>4632.6499999999996</v>
      </c>
      <c r="L17" s="363"/>
      <c r="M17" s="362">
        <f>K17</f>
        <v>4632.6499999999996</v>
      </c>
      <c r="N17" s="302"/>
    </row>
    <row r="18" spans="1:16" s="284" customFormat="1" ht="25.5">
      <c r="A18" s="245" t="s">
        <v>9</v>
      </c>
      <c r="B18" s="250" t="s">
        <v>560</v>
      </c>
      <c r="C18" s="247" t="s">
        <v>78</v>
      </c>
      <c r="D18" s="248">
        <v>1</v>
      </c>
      <c r="E18" s="248">
        <v>1758.7</v>
      </c>
      <c r="F18" s="252">
        <f>E18*D18</f>
        <v>1758.7</v>
      </c>
      <c r="G18" s="288"/>
      <c r="H18" s="292"/>
      <c r="I18" s="252"/>
      <c r="J18" s="252"/>
      <c r="K18" s="249"/>
      <c r="L18" s="318"/>
      <c r="M18" s="318"/>
      <c r="N18" s="302"/>
    </row>
    <row r="19" spans="1:16" s="284" customFormat="1">
      <c r="A19" s="245" t="s">
        <v>11</v>
      </c>
      <c r="B19" s="251" t="s">
        <v>561</v>
      </c>
      <c r="C19" s="247" t="s">
        <v>8</v>
      </c>
      <c r="D19" s="248">
        <v>10</v>
      </c>
      <c r="E19" s="248">
        <v>351.38099999999997</v>
      </c>
      <c r="F19" s="252">
        <f>E19*D19</f>
        <v>3513.8099999999995</v>
      </c>
      <c r="G19" s="356">
        <v>10</v>
      </c>
      <c r="H19" s="292"/>
      <c r="I19" s="355">
        <v>10</v>
      </c>
      <c r="J19" s="252"/>
      <c r="K19" s="249">
        <v>3347.87</v>
      </c>
      <c r="L19" s="317"/>
      <c r="M19" s="366">
        <f>3347.87</f>
        <v>3347.87</v>
      </c>
      <c r="N19" s="302"/>
    </row>
    <row r="20" spans="1:16" s="284" customFormat="1" ht="25.5">
      <c r="A20" s="245" t="s">
        <v>13</v>
      </c>
      <c r="B20" s="337" t="s">
        <v>970</v>
      </c>
      <c r="C20" s="338" t="s">
        <v>8</v>
      </c>
      <c r="D20" s="339">
        <v>1200</v>
      </c>
      <c r="E20" s="340">
        <f>2.21*1.3126*0.79</f>
        <v>2.2916683400000002</v>
      </c>
      <c r="F20" s="252">
        <f>D20*E20</f>
        <v>2750.0020080000004</v>
      </c>
      <c r="G20" s="356">
        <v>1200</v>
      </c>
      <c r="H20" s="356"/>
      <c r="I20" s="355">
        <v>1200</v>
      </c>
      <c r="J20" s="252"/>
      <c r="K20" s="360">
        <f>E20*G20</f>
        <v>2750.0020080000004</v>
      </c>
      <c r="L20" s="362"/>
      <c r="M20" s="362">
        <f>K20+L20</f>
        <v>2750.0020080000004</v>
      </c>
      <c r="N20" s="302"/>
    </row>
    <row r="21" spans="1:16" s="284" customFormat="1">
      <c r="A21" s="517"/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9"/>
      <c r="N21" s="302"/>
      <c r="O21" s="339"/>
    </row>
    <row r="22" spans="1:16" s="427" customFormat="1" ht="18">
      <c r="A22" s="384" t="s">
        <v>543</v>
      </c>
      <c r="B22" s="563" t="s">
        <v>20</v>
      </c>
      <c r="C22" s="564"/>
      <c r="D22" s="564"/>
      <c r="E22" s="565"/>
      <c r="F22" s="385">
        <f>SUM(F23:F24)</f>
        <v>21241.503113799998</v>
      </c>
      <c r="G22" s="386"/>
      <c r="H22" s="387"/>
      <c r="I22" s="388"/>
      <c r="J22" s="389"/>
      <c r="K22" s="425">
        <f>SUM(K23:K24)</f>
        <v>6523.0265135999998</v>
      </c>
      <c r="L22" s="423"/>
      <c r="M22" s="423">
        <f>SUM(M23:M24)</f>
        <v>17104.837665999999</v>
      </c>
      <c r="N22" s="426"/>
    </row>
    <row r="23" spans="1:16" s="284" customFormat="1" ht="25.5">
      <c r="A23" s="247" t="s">
        <v>21</v>
      </c>
      <c r="B23" s="246" t="s">
        <v>562</v>
      </c>
      <c r="C23" s="247" t="s">
        <v>23</v>
      </c>
      <c r="D23" s="248">
        <v>81.209999999999994</v>
      </c>
      <c r="E23" s="248">
        <v>52.514699999999998</v>
      </c>
      <c r="F23" s="252">
        <f>E23*D23</f>
        <v>4264.7187869999998</v>
      </c>
      <c r="G23" s="356">
        <f>24.99+21.79</f>
        <v>46.78</v>
      </c>
      <c r="H23" s="356"/>
      <c r="I23" s="355">
        <v>46.78</v>
      </c>
      <c r="J23" s="252"/>
      <c r="K23" s="362">
        <f>E23*G23</f>
        <v>2456.6376660000001</v>
      </c>
      <c r="L23" s="362"/>
      <c r="M23" s="362">
        <f>E23*I23</f>
        <v>2456.6376660000001</v>
      </c>
      <c r="N23" s="302"/>
      <c r="O23" s="339"/>
    </row>
    <row r="24" spans="1:16" s="284" customFormat="1" ht="25.5">
      <c r="A24" s="334" t="s">
        <v>24</v>
      </c>
      <c r="B24" s="346" t="s">
        <v>971</v>
      </c>
      <c r="C24" s="338" t="s">
        <v>23</v>
      </c>
      <c r="D24" s="248">
        <v>501.74</v>
      </c>
      <c r="E24" s="248">
        <v>33.835819999999998</v>
      </c>
      <c r="F24" s="252">
        <f>D24*E24</f>
        <v>16976.7843268</v>
      </c>
      <c r="G24" s="356">
        <v>120.18</v>
      </c>
      <c r="H24" s="356"/>
      <c r="I24" s="355">
        <f>G24+312.74</f>
        <v>432.92</v>
      </c>
      <c r="J24" s="252"/>
      <c r="K24" s="362">
        <f>E24*G24</f>
        <v>4066.3888476000002</v>
      </c>
      <c r="L24" s="362"/>
      <c r="M24" s="362">
        <v>14648.2</v>
      </c>
      <c r="N24" s="302"/>
      <c r="O24" s="441"/>
      <c r="P24" s="319"/>
    </row>
    <row r="25" spans="1:16" s="284" customFormat="1">
      <c r="A25" s="520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2"/>
      <c r="N25" s="302"/>
    </row>
    <row r="26" spans="1:16" s="420" customFormat="1" ht="18">
      <c r="A26" s="384" t="s">
        <v>544</v>
      </c>
      <c r="B26" s="563" t="s">
        <v>563</v>
      </c>
      <c r="C26" s="564"/>
      <c r="D26" s="564"/>
      <c r="E26" s="565"/>
      <c r="F26" s="385">
        <f>SUM(F27,F42,F44)</f>
        <v>154321.84075190002</v>
      </c>
      <c r="G26" s="386"/>
      <c r="H26" s="387"/>
      <c r="I26" s="388"/>
      <c r="J26" s="389"/>
      <c r="K26" s="428">
        <f>K27+K42+K44</f>
        <v>110273.21231810001</v>
      </c>
      <c r="L26" s="429">
        <f>L27+L42+L44</f>
        <v>307.66382400000003</v>
      </c>
      <c r="M26" s="429">
        <f>SUM(M27,M42,M44)</f>
        <v>110580.87614210002</v>
      </c>
      <c r="N26" s="426"/>
      <c r="O26" s="430"/>
    </row>
    <row r="27" spans="1:16" s="410" customFormat="1" ht="15.75">
      <c r="A27" s="396" t="s">
        <v>33</v>
      </c>
      <c r="B27" s="397" t="s">
        <v>564</v>
      </c>
      <c r="C27" s="396"/>
      <c r="D27" s="398"/>
      <c r="E27" s="399"/>
      <c r="F27" s="400">
        <f>SUM(F28:F41)-0.01</f>
        <v>63766.269369499998</v>
      </c>
      <c r="G27" s="393"/>
      <c r="H27" s="394"/>
      <c r="I27" s="395"/>
      <c r="J27" s="392"/>
      <c r="K27" s="404">
        <f>SUM(K28:K41)</f>
        <v>35607.132494999991</v>
      </c>
      <c r="L27" s="404">
        <f>SUM(L28:L41)</f>
        <v>307.66382400000003</v>
      </c>
      <c r="M27" s="409">
        <f>SUM(M28:M41)</f>
        <v>35914.796319000001</v>
      </c>
      <c r="N27" s="456"/>
    </row>
    <row r="28" spans="1:16">
      <c r="A28" s="247" t="s">
        <v>35</v>
      </c>
      <c r="B28" s="250" t="s">
        <v>918</v>
      </c>
      <c r="C28" s="247" t="s">
        <v>23</v>
      </c>
      <c r="D28" s="248">
        <v>67.27</v>
      </c>
      <c r="E28" s="248">
        <v>63.211100000000002</v>
      </c>
      <c r="F28" s="252">
        <f t="shared" ref="F28:F49" si="0">E28*D28</f>
        <v>4252.2106969999995</v>
      </c>
      <c r="G28" s="356">
        <v>26.04</v>
      </c>
      <c r="H28" s="357"/>
      <c r="I28" s="355">
        <v>26.04</v>
      </c>
      <c r="J28" s="252"/>
      <c r="K28" s="249">
        <f>60.03*26.04</f>
        <v>1563.1812</v>
      </c>
      <c r="L28" s="317"/>
      <c r="M28" s="371">
        <f>SUM(K28:L28)</f>
        <v>1563.1812</v>
      </c>
      <c r="N28" s="302"/>
      <c r="O28" s="303"/>
    </row>
    <row r="29" spans="1:16" s="284" customFormat="1">
      <c r="A29" s="247" t="s">
        <v>37</v>
      </c>
      <c r="B29" s="250" t="s">
        <v>565</v>
      </c>
      <c r="C29" s="247" t="s">
        <v>8</v>
      </c>
      <c r="D29" s="248">
        <v>43.4</v>
      </c>
      <c r="E29" s="248">
        <v>1.5802</v>
      </c>
      <c r="F29" s="252">
        <f t="shared" si="0"/>
        <v>68.580680000000001</v>
      </c>
      <c r="G29" s="356">
        <v>43.4</v>
      </c>
      <c r="H29" s="357"/>
      <c r="I29" s="355">
        <v>43.4</v>
      </c>
      <c r="J29" s="252"/>
      <c r="K29" s="249">
        <v>54.12</v>
      </c>
      <c r="L29" s="317"/>
      <c r="M29" s="371">
        <f t="shared" ref="M29:M41" si="1">SUM(K29:L29)</f>
        <v>54.12</v>
      </c>
      <c r="N29" s="302"/>
    </row>
    <row r="30" spans="1:16" s="284" customFormat="1" ht="25.5">
      <c r="A30" s="247" t="s">
        <v>39</v>
      </c>
      <c r="B30" s="250" t="s">
        <v>566</v>
      </c>
      <c r="C30" s="247" t="s">
        <v>23</v>
      </c>
      <c r="D30" s="248">
        <v>2.17</v>
      </c>
      <c r="E30" s="248">
        <v>497.23050000000001</v>
      </c>
      <c r="F30" s="252">
        <f t="shared" si="0"/>
        <v>1078.9901849999999</v>
      </c>
      <c r="G30" s="356">
        <v>2.17</v>
      </c>
      <c r="H30" s="357"/>
      <c r="I30" s="355">
        <v>2.17</v>
      </c>
      <c r="J30" s="252"/>
      <c r="K30" s="249">
        <f t="shared" ref="K30" si="2">E30*G30</f>
        <v>1078.9901849999999</v>
      </c>
      <c r="L30" s="317"/>
      <c r="M30" s="371">
        <f t="shared" si="1"/>
        <v>1078.9901849999999</v>
      </c>
      <c r="N30" s="302"/>
    </row>
    <row r="31" spans="1:16" s="284" customFormat="1" ht="25.5">
      <c r="A31" s="247" t="s">
        <v>567</v>
      </c>
      <c r="B31" s="250" t="s">
        <v>568</v>
      </c>
      <c r="C31" s="247" t="s">
        <v>8</v>
      </c>
      <c r="D31" s="248">
        <v>167.25</v>
      </c>
      <c r="E31" s="248">
        <v>113.52204999999999</v>
      </c>
      <c r="F31" s="252">
        <f t="shared" si="0"/>
        <v>18986.562862499999</v>
      </c>
      <c r="G31" s="356">
        <v>126.41</v>
      </c>
      <c r="H31" s="356">
        <v>2.08</v>
      </c>
      <c r="I31" s="355">
        <f>G31+H31</f>
        <v>128.49</v>
      </c>
      <c r="J31" s="252"/>
      <c r="K31" s="249">
        <f>62.85*89.99+63.56*113.52</f>
        <v>12871.2027</v>
      </c>
      <c r="L31" s="366">
        <f>E31*H31</f>
        <v>236.12586400000001</v>
      </c>
      <c r="M31" s="371">
        <f t="shared" si="1"/>
        <v>13107.328563999999</v>
      </c>
      <c r="N31" s="302"/>
      <c r="O31" s="442"/>
    </row>
    <row r="32" spans="1:16" s="284" customFormat="1" ht="25.5">
      <c r="A32" s="247" t="s">
        <v>569</v>
      </c>
      <c r="B32" s="250" t="s">
        <v>919</v>
      </c>
      <c r="C32" s="247" t="s">
        <v>570</v>
      </c>
      <c r="D32" s="248">
        <v>127.6</v>
      </c>
      <c r="E32" s="248">
        <v>20.500599999999999</v>
      </c>
      <c r="F32" s="252">
        <f t="shared" si="0"/>
        <v>2615.8765599999997</v>
      </c>
      <c r="G32" s="356">
        <v>127.6</v>
      </c>
      <c r="H32" s="357"/>
      <c r="I32" s="355">
        <v>127.6</v>
      </c>
      <c r="J32" s="252"/>
      <c r="K32" s="249">
        <v>1415.59</v>
      </c>
      <c r="L32" s="317"/>
      <c r="M32" s="371">
        <f t="shared" si="1"/>
        <v>1415.59</v>
      </c>
      <c r="N32" s="302"/>
    </row>
    <row r="33" spans="1:15" s="284" customFormat="1" ht="25.5">
      <c r="A33" s="247" t="s">
        <v>571</v>
      </c>
      <c r="B33" s="250" t="s">
        <v>920</v>
      </c>
      <c r="C33" s="247" t="s">
        <v>570</v>
      </c>
      <c r="D33" s="248">
        <v>285.8</v>
      </c>
      <c r="E33" s="248">
        <v>20.092130000000001</v>
      </c>
      <c r="F33" s="252">
        <f t="shared" si="0"/>
        <v>5742.3307540000005</v>
      </c>
      <c r="G33" s="356">
        <v>285.8</v>
      </c>
      <c r="H33" s="357"/>
      <c r="I33" s="355">
        <v>285.8</v>
      </c>
      <c r="J33" s="252"/>
      <c r="K33" s="249">
        <v>2780.48</v>
      </c>
      <c r="L33" s="317"/>
      <c r="M33" s="371">
        <f t="shared" si="1"/>
        <v>2780.48</v>
      </c>
      <c r="N33" s="302"/>
    </row>
    <row r="34" spans="1:15" s="284" customFormat="1" ht="25.5">
      <c r="A34" s="247" t="s">
        <v>572</v>
      </c>
      <c r="B34" s="250" t="s">
        <v>921</v>
      </c>
      <c r="C34" s="247" t="s">
        <v>570</v>
      </c>
      <c r="D34" s="248">
        <v>149.30000000000001</v>
      </c>
      <c r="E34" s="248">
        <v>19.393350000000002</v>
      </c>
      <c r="F34" s="252">
        <f t="shared" si="0"/>
        <v>2895.4271550000003</v>
      </c>
      <c r="G34" s="356">
        <v>149.30000000000001</v>
      </c>
      <c r="H34" s="357"/>
      <c r="I34" s="355">
        <v>149.30000000000001</v>
      </c>
      <c r="J34" s="252"/>
      <c r="K34" s="249">
        <v>1415.59</v>
      </c>
      <c r="L34" s="317"/>
      <c r="M34" s="371">
        <f t="shared" si="1"/>
        <v>1415.59</v>
      </c>
      <c r="N34" s="302"/>
    </row>
    <row r="35" spans="1:15" s="284" customFormat="1" ht="25.5">
      <c r="A35" s="247" t="s">
        <v>573</v>
      </c>
      <c r="B35" s="250" t="s">
        <v>922</v>
      </c>
      <c r="C35" s="247" t="s">
        <v>570</v>
      </c>
      <c r="D35" s="248">
        <v>396.5</v>
      </c>
      <c r="E35" s="248">
        <v>17.608830000000001</v>
      </c>
      <c r="F35" s="252">
        <f t="shared" si="0"/>
        <v>6981.9010950000002</v>
      </c>
      <c r="G35" s="356">
        <v>396.5</v>
      </c>
      <c r="H35" s="357"/>
      <c r="I35" s="355">
        <v>396.5</v>
      </c>
      <c r="J35" s="252"/>
      <c r="K35" s="249">
        <v>3081.7</v>
      </c>
      <c r="L35" s="317"/>
      <c r="M35" s="371">
        <f t="shared" si="1"/>
        <v>3081.7</v>
      </c>
      <c r="N35" s="302"/>
    </row>
    <row r="36" spans="1:15" s="284" customFormat="1" ht="25.5">
      <c r="A36" s="247" t="s">
        <v>574</v>
      </c>
      <c r="B36" s="250" t="s">
        <v>923</v>
      </c>
      <c r="C36" s="247" t="s">
        <v>570</v>
      </c>
      <c r="D36" s="248">
        <v>187.4</v>
      </c>
      <c r="E36" s="248">
        <v>15.03955</v>
      </c>
      <c r="F36" s="252">
        <f t="shared" si="0"/>
        <v>2818.41167</v>
      </c>
      <c r="G36" s="356">
        <v>187.4</v>
      </c>
      <c r="H36" s="357"/>
      <c r="I36" s="355">
        <v>187.4</v>
      </c>
      <c r="J36" s="252"/>
      <c r="K36" s="249">
        <v>1307.44</v>
      </c>
      <c r="L36" s="317"/>
      <c r="M36" s="371">
        <f t="shared" si="1"/>
        <v>1307.44</v>
      </c>
      <c r="N36" s="302"/>
    </row>
    <row r="37" spans="1:15" s="284" customFormat="1" ht="25.5">
      <c r="A37" s="247" t="s">
        <v>575</v>
      </c>
      <c r="B37" s="250" t="s">
        <v>924</v>
      </c>
      <c r="C37" s="247" t="s">
        <v>570</v>
      </c>
      <c r="D37" s="248">
        <v>298.3</v>
      </c>
      <c r="E37" s="248">
        <v>14.502000000000001</v>
      </c>
      <c r="F37" s="252">
        <f t="shared" si="0"/>
        <v>4325.9466000000002</v>
      </c>
      <c r="G37" s="356">
        <v>298.3</v>
      </c>
      <c r="H37" s="357"/>
      <c r="I37" s="355">
        <v>298.3</v>
      </c>
      <c r="J37" s="252"/>
      <c r="K37" s="249">
        <v>1943.28</v>
      </c>
      <c r="L37" s="317"/>
      <c r="M37" s="371">
        <f t="shared" si="1"/>
        <v>1943.28</v>
      </c>
      <c r="N37" s="302"/>
    </row>
    <row r="38" spans="1:15" s="284" customFormat="1" ht="25.5">
      <c r="A38" s="247" t="s">
        <v>576</v>
      </c>
      <c r="B38" s="250" t="s">
        <v>925</v>
      </c>
      <c r="C38" s="247" t="s">
        <v>570</v>
      </c>
      <c r="D38" s="248">
        <v>170.9</v>
      </c>
      <c r="E38" s="248">
        <v>16.458549999999999</v>
      </c>
      <c r="F38" s="252">
        <f t="shared" si="0"/>
        <v>2812.7661949999997</v>
      </c>
      <c r="G38" s="356">
        <v>170.9</v>
      </c>
      <c r="H38" s="357"/>
      <c r="I38" s="355">
        <v>170.9</v>
      </c>
      <c r="J38" s="252"/>
      <c r="K38" s="249">
        <v>1028.82</v>
      </c>
      <c r="L38" s="317"/>
      <c r="M38" s="371">
        <f t="shared" si="1"/>
        <v>1028.82</v>
      </c>
      <c r="N38" s="302"/>
    </row>
    <row r="39" spans="1:15" s="284" customFormat="1" ht="25.5">
      <c r="A39" s="247" t="s">
        <v>577</v>
      </c>
      <c r="B39" s="250" t="s">
        <v>926</v>
      </c>
      <c r="C39" s="247" t="s">
        <v>23</v>
      </c>
      <c r="D39" s="248">
        <v>17.05</v>
      </c>
      <c r="E39" s="248">
        <v>396.33850000000001</v>
      </c>
      <c r="F39" s="252">
        <f t="shared" si="0"/>
        <v>6757.5714250000001</v>
      </c>
      <c r="G39" s="356">
        <v>13.51</v>
      </c>
      <c r="H39" s="358">
        <v>0.13</v>
      </c>
      <c r="I39" s="355">
        <f>G39+H39</f>
        <v>13.64</v>
      </c>
      <c r="J39" s="252"/>
      <c r="K39" s="249">
        <f>10.59*327.95+2.92*396.34</f>
        <v>4630.3032999999996</v>
      </c>
      <c r="L39" s="366">
        <f>E39*H39</f>
        <v>51.524005000000002</v>
      </c>
      <c r="M39" s="371">
        <f t="shared" si="1"/>
        <v>4681.8273049999998</v>
      </c>
      <c r="N39" s="371"/>
      <c r="O39" s="458"/>
    </row>
    <row r="40" spans="1:15" s="284" customFormat="1" ht="25.5">
      <c r="A40" s="247" t="s">
        <v>578</v>
      </c>
      <c r="B40" s="250" t="s">
        <v>927</v>
      </c>
      <c r="C40" s="247" t="s">
        <v>23</v>
      </c>
      <c r="D40" s="248">
        <v>17.05</v>
      </c>
      <c r="E40" s="248">
        <v>153.95349999999999</v>
      </c>
      <c r="F40" s="252">
        <f t="shared" si="0"/>
        <v>2624.9071749999998</v>
      </c>
      <c r="G40" s="356">
        <v>13.51</v>
      </c>
      <c r="H40" s="358">
        <v>0.13</v>
      </c>
      <c r="I40" s="355">
        <f>G40+H40</f>
        <v>13.64</v>
      </c>
      <c r="J40" s="252"/>
      <c r="K40" s="249">
        <f>10.59*135.19+2.92*153.95</f>
        <v>1881.1960999999999</v>
      </c>
      <c r="L40" s="366">
        <f>E40*H40</f>
        <v>20.013954999999999</v>
      </c>
      <c r="M40" s="371">
        <f t="shared" si="1"/>
        <v>1901.2100549999998</v>
      </c>
      <c r="N40" s="371"/>
      <c r="O40" s="459"/>
    </row>
    <row r="41" spans="1:15" s="284" customFormat="1">
      <c r="A41" s="247" t="s">
        <v>580</v>
      </c>
      <c r="B41" s="250" t="s">
        <v>928</v>
      </c>
      <c r="C41" s="247" t="s">
        <v>23</v>
      </c>
      <c r="D41" s="248">
        <v>50.22</v>
      </c>
      <c r="E41" s="248">
        <v>35.937800000000003</v>
      </c>
      <c r="F41" s="252">
        <f t="shared" si="0"/>
        <v>1804.7963160000002</v>
      </c>
      <c r="G41" s="356">
        <v>15.45</v>
      </c>
      <c r="H41" s="356"/>
      <c r="I41" s="355">
        <v>15.45</v>
      </c>
      <c r="J41" s="252"/>
      <c r="K41" s="249">
        <f>E41*G41</f>
        <v>555.23901000000001</v>
      </c>
      <c r="L41" s="249"/>
      <c r="M41" s="371">
        <f t="shared" si="1"/>
        <v>555.23901000000001</v>
      </c>
      <c r="N41" s="302"/>
    </row>
    <row r="42" spans="1:15" s="284" customFormat="1" ht="15.75">
      <c r="A42" s="396" t="s">
        <v>41</v>
      </c>
      <c r="B42" s="397" t="s">
        <v>581</v>
      </c>
      <c r="C42" s="396"/>
      <c r="D42" s="398"/>
      <c r="E42" s="399"/>
      <c r="F42" s="400">
        <f>F43</f>
        <v>56360.321394000006</v>
      </c>
      <c r="G42" s="401"/>
      <c r="H42" s="402"/>
      <c r="I42" s="403"/>
      <c r="J42" s="400"/>
      <c r="K42" s="404">
        <f>K43</f>
        <v>49996.586029000006</v>
      </c>
      <c r="L42" s="404"/>
      <c r="M42" s="408">
        <f>M43</f>
        <v>49996.586029000006</v>
      </c>
      <c r="N42" s="302"/>
    </row>
    <row r="43" spans="1:15" s="284" customFormat="1" ht="25.5">
      <c r="A43" s="247" t="s">
        <v>43</v>
      </c>
      <c r="B43" s="246" t="s">
        <v>582</v>
      </c>
      <c r="C43" s="247" t="s">
        <v>23</v>
      </c>
      <c r="D43" s="248">
        <v>153.66</v>
      </c>
      <c r="E43" s="248">
        <v>366.78590000000003</v>
      </c>
      <c r="F43" s="252">
        <f t="shared" si="0"/>
        <v>56360.321394000006</v>
      </c>
      <c r="G43" s="356">
        <v>136.31</v>
      </c>
      <c r="H43" s="358"/>
      <c r="I43" s="359">
        <f>G43+H43</f>
        <v>136.31</v>
      </c>
      <c r="J43" s="252"/>
      <c r="K43" s="249">
        <f>E43*G43</f>
        <v>49996.586029000006</v>
      </c>
      <c r="L43" s="249"/>
      <c r="M43" s="371">
        <f>K43+L43</f>
        <v>49996.586029000006</v>
      </c>
      <c r="N43" s="302"/>
      <c r="O43" s="443"/>
    </row>
    <row r="44" spans="1:15" ht="15.75">
      <c r="A44" s="396" t="s">
        <v>583</v>
      </c>
      <c r="B44" s="397" t="s">
        <v>584</v>
      </c>
      <c r="C44" s="396"/>
      <c r="D44" s="398"/>
      <c r="E44" s="399"/>
      <c r="F44" s="400">
        <f>SUM(F45:F49)</f>
        <v>34195.249988400006</v>
      </c>
      <c r="G44" s="405"/>
      <c r="H44" s="406"/>
      <c r="I44" s="407"/>
      <c r="J44" s="400"/>
      <c r="K44" s="404">
        <f>SUM(K45:K49)</f>
        <v>24669.493794100003</v>
      </c>
      <c r="L44" s="404"/>
      <c r="M44" s="408">
        <f>SUM(M45:M49)</f>
        <v>24669.493794100003</v>
      </c>
      <c r="N44" s="302"/>
    </row>
    <row r="45" spans="1:15" s="284" customFormat="1" ht="25.5">
      <c r="A45" s="247" t="s">
        <v>585</v>
      </c>
      <c r="B45" s="250" t="s">
        <v>586</v>
      </c>
      <c r="C45" s="247" t="s">
        <v>8</v>
      </c>
      <c r="D45" s="248">
        <v>233.62</v>
      </c>
      <c r="E45" s="248">
        <v>65.017150000000001</v>
      </c>
      <c r="F45" s="252">
        <f t="shared" si="0"/>
        <v>15189.306583000001</v>
      </c>
      <c r="G45" s="356">
        <v>150.57</v>
      </c>
      <c r="H45" s="358"/>
      <c r="I45" s="359">
        <f>G45+H45</f>
        <v>150.57</v>
      </c>
      <c r="J45" s="252"/>
      <c r="K45" s="249">
        <f>E45*G45</f>
        <v>9789.6322755000001</v>
      </c>
      <c r="L45" s="369"/>
      <c r="M45" s="373">
        <f>K45+L45</f>
        <v>9789.6322755000001</v>
      </c>
      <c r="N45" s="302"/>
      <c r="O45" s="443"/>
    </row>
    <row r="46" spans="1:15" s="284" customFormat="1" ht="38.25">
      <c r="A46" s="247" t="s">
        <v>587</v>
      </c>
      <c r="B46" s="250" t="s">
        <v>588</v>
      </c>
      <c r="C46" s="247" t="s">
        <v>570</v>
      </c>
      <c r="D46" s="248">
        <v>275.86</v>
      </c>
      <c r="E46" s="248">
        <v>20.49</v>
      </c>
      <c r="F46" s="252">
        <f>E46*D46-0.03</f>
        <v>5652.3414000000002</v>
      </c>
      <c r="G46" s="356">
        <v>231.22</v>
      </c>
      <c r="H46" s="358"/>
      <c r="I46" s="359">
        <f>G46+H46</f>
        <v>231.22</v>
      </c>
      <c r="J46" s="252"/>
      <c r="K46" s="249">
        <f t="shared" ref="K46:K47" si="3">E46*G46</f>
        <v>4737.6977999999999</v>
      </c>
      <c r="L46" s="370"/>
      <c r="M46" s="374">
        <f>K46+L46</f>
        <v>4737.6977999999999</v>
      </c>
      <c r="N46" s="302"/>
      <c r="O46" s="443"/>
    </row>
    <row r="47" spans="1:15" s="284" customFormat="1" ht="38.25">
      <c r="A47" s="247" t="s">
        <v>589</v>
      </c>
      <c r="B47" s="250" t="s">
        <v>896</v>
      </c>
      <c r="C47" s="247" t="s">
        <v>570</v>
      </c>
      <c r="D47" s="248">
        <v>372.88</v>
      </c>
      <c r="E47" s="248">
        <v>18.501080000000002</v>
      </c>
      <c r="F47" s="252">
        <f t="shared" si="0"/>
        <v>6898.6827104000004</v>
      </c>
      <c r="G47" s="356">
        <v>312.92</v>
      </c>
      <c r="H47" s="358"/>
      <c r="I47" s="359">
        <f>G47+H47</f>
        <v>312.92</v>
      </c>
      <c r="J47" s="252"/>
      <c r="K47" s="249">
        <f t="shared" si="3"/>
        <v>5789.3579536000007</v>
      </c>
      <c r="L47" s="362"/>
      <c r="M47" s="371">
        <f>K47+L47</f>
        <v>5789.3579536000007</v>
      </c>
      <c r="N47" s="302"/>
      <c r="O47" s="443"/>
    </row>
    <row r="48" spans="1:15" s="284" customFormat="1" ht="25.5">
      <c r="A48" s="247" t="s">
        <v>590</v>
      </c>
      <c r="B48" s="250" t="s">
        <v>591</v>
      </c>
      <c r="C48" s="247" t="s">
        <v>23</v>
      </c>
      <c r="D48" s="248">
        <v>11.73</v>
      </c>
      <c r="E48" s="248">
        <v>396.33850000000001</v>
      </c>
      <c r="F48" s="252">
        <f t="shared" si="0"/>
        <v>4649.0506050000004</v>
      </c>
      <c r="G48" s="356">
        <v>7.91</v>
      </c>
      <c r="H48" s="358"/>
      <c r="I48" s="359">
        <f>G48+H48</f>
        <v>7.91</v>
      </c>
      <c r="J48" s="252"/>
      <c r="K48" s="249">
        <f>E48*G48</f>
        <v>3135.0375349999999</v>
      </c>
      <c r="L48" s="362"/>
      <c r="M48" s="371">
        <f>K48+L48</f>
        <v>3135.0375349999999</v>
      </c>
      <c r="N48" s="302"/>
      <c r="O48" s="443"/>
    </row>
    <row r="49" spans="1:15" s="284" customFormat="1" ht="25.5">
      <c r="A49" s="247" t="s">
        <v>592</v>
      </c>
      <c r="B49" s="246" t="s">
        <v>579</v>
      </c>
      <c r="C49" s="247" t="s">
        <v>23</v>
      </c>
      <c r="D49" s="248">
        <v>11.73</v>
      </c>
      <c r="E49" s="248">
        <v>153.953</v>
      </c>
      <c r="F49" s="252">
        <f t="shared" si="0"/>
        <v>1805.86869</v>
      </c>
      <c r="G49" s="356">
        <v>7.91</v>
      </c>
      <c r="H49" s="358"/>
      <c r="I49" s="359">
        <f>G49+H49</f>
        <v>7.91</v>
      </c>
      <c r="J49" s="252"/>
      <c r="K49" s="249">
        <f>E49*G49</f>
        <v>1217.7682300000001</v>
      </c>
      <c r="L49" s="369"/>
      <c r="M49" s="373">
        <f>K49+L49</f>
        <v>1217.7682300000001</v>
      </c>
      <c r="N49" s="302"/>
      <c r="O49" s="443"/>
    </row>
    <row r="50" spans="1:15" s="284" customFormat="1">
      <c r="A50" s="520"/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2"/>
      <c r="N50" s="302"/>
    </row>
    <row r="51" spans="1:15" s="427" customFormat="1" ht="18">
      <c r="A51" s="384" t="s">
        <v>545</v>
      </c>
      <c r="B51" s="563" t="s">
        <v>47</v>
      </c>
      <c r="C51" s="564"/>
      <c r="D51" s="564"/>
      <c r="E51" s="565"/>
      <c r="F51" s="385">
        <f>SUM(F52,F61,F72,F80)+0.01</f>
        <v>157392.00127750004</v>
      </c>
      <c r="G51" s="386"/>
      <c r="H51" s="387"/>
      <c r="I51" s="388"/>
      <c r="J51" s="389"/>
      <c r="K51" s="390">
        <f>K52+K61</f>
        <v>27615.932967499994</v>
      </c>
      <c r="L51" s="390">
        <f>L52+L61+L72+L80</f>
        <v>27365.885203499998</v>
      </c>
      <c r="M51" s="390">
        <f>M52+M61</f>
        <v>55174.163680999991</v>
      </c>
      <c r="N51" s="419"/>
    </row>
    <row r="52" spans="1:15" s="284" customFormat="1" ht="14.1" customHeight="1">
      <c r="A52" s="396" t="s">
        <v>48</v>
      </c>
      <c r="B52" s="397" t="s">
        <v>593</v>
      </c>
      <c r="C52" s="396"/>
      <c r="D52" s="398"/>
      <c r="E52" s="399"/>
      <c r="F52" s="400">
        <f>SUM(F53:F60)+0.01</f>
        <v>45462.599783500009</v>
      </c>
      <c r="G52" s="401"/>
      <c r="H52" s="402"/>
      <c r="I52" s="403"/>
      <c r="J52" s="400"/>
      <c r="K52" s="404">
        <f>SUM(K53:K60)</f>
        <v>24650.786660499994</v>
      </c>
      <c r="L52" s="404">
        <f>SUM(L53:L60)</f>
        <v>11008.925764</v>
      </c>
      <c r="M52" s="404">
        <f>SUM(M53:M60)</f>
        <v>35659.712424499994</v>
      </c>
      <c r="N52" s="316"/>
    </row>
    <row r="53" spans="1:15" ht="51">
      <c r="A53" s="247" t="s">
        <v>50</v>
      </c>
      <c r="B53" s="246" t="s">
        <v>594</v>
      </c>
      <c r="C53" s="247" t="s">
        <v>8</v>
      </c>
      <c r="D53" s="248">
        <v>257.8</v>
      </c>
      <c r="E53" s="248">
        <v>35.034880000000001</v>
      </c>
      <c r="F53" s="252">
        <f t="shared" ref="F53:F84" si="4">E53*D53</f>
        <v>9031.992064</v>
      </c>
      <c r="G53" s="353">
        <f>'[1]Memoria de Calculo'!$M$303</f>
        <v>176.4</v>
      </c>
      <c r="H53" s="358">
        <v>29.4</v>
      </c>
      <c r="I53" s="353">
        <f>176.4+H53</f>
        <v>205.8</v>
      </c>
      <c r="J53" s="252"/>
      <c r="K53" s="249">
        <f>E53*G53</f>
        <v>6180.1528320000007</v>
      </c>
      <c r="L53" s="249">
        <f>E53*H53</f>
        <v>1030.025472</v>
      </c>
      <c r="M53" s="249">
        <f>E53*I53</f>
        <v>7210.1783040000009</v>
      </c>
      <c r="N53" s="302"/>
      <c r="O53" s="460"/>
    </row>
    <row r="54" spans="1:15" ht="38.25">
      <c r="A54" s="247" t="s">
        <v>51</v>
      </c>
      <c r="B54" s="246" t="s">
        <v>595</v>
      </c>
      <c r="C54" s="247" t="s">
        <v>570</v>
      </c>
      <c r="D54" s="248">
        <v>295.43</v>
      </c>
      <c r="E54" s="248">
        <v>20.489850000000001</v>
      </c>
      <c r="F54" s="252">
        <f t="shared" si="4"/>
        <v>6053.3163855000003</v>
      </c>
      <c r="G54" s="353">
        <f>'[1]Memoria de Calculo'!$M$322</f>
        <v>226.86</v>
      </c>
      <c r="H54" s="358">
        <v>30.44</v>
      </c>
      <c r="I54" s="353">
        <f>226.86+H54</f>
        <v>257.3</v>
      </c>
      <c r="J54" s="252"/>
      <c r="K54" s="249">
        <f>E54*G54</f>
        <v>4648.3273710000003</v>
      </c>
      <c r="L54" s="249">
        <f>E54*H54</f>
        <v>623.71103400000004</v>
      </c>
      <c r="M54" s="249">
        <f t="shared" ref="M54:M60" si="5">E54*I54</f>
        <v>5272.0384050000002</v>
      </c>
      <c r="N54" s="302"/>
      <c r="O54" s="460"/>
    </row>
    <row r="55" spans="1:15" s="284" customFormat="1" ht="38.25">
      <c r="A55" s="247" t="s">
        <v>596</v>
      </c>
      <c r="B55" s="246" t="s">
        <v>597</v>
      </c>
      <c r="C55" s="247" t="s">
        <v>570</v>
      </c>
      <c r="D55" s="248">
        <v>567.63</v>
      </c>
      <c r="E55" s="248">
        <v>17.565799999999999</v>
      </c>
      <c r="F55" s="252">
        <f t="shared" si="4"/>
        <v>9970.8750540000001</v>
      </c>
      <c r="G55" s="353">
        <f>'[1]Memoria de Calculo'!$M$334</f>
        <v>364.95</v>
      </c>
      <c r="H55" s="358"/>
      <c r="I55" s="353">
        <f>'[1]Memoria de Calculo'!$M$334</f>
        <v>364.95</v>
      </c>
      <c r="J55" s="252"/>
      <c r="K55" s="249">
        <f>E55*G55</f>
        <v>6410.6387099999993</v>
      </c>
      <c r="L55" s="249"/>
      <c r="M55" s="249">
        <f t="shared" si="5"/>
        <v>6410.6387099999993</v>
      </c>
      <c r="N55" s="302"/>
      <c r="O55" s="443"/>
    </row>
    <row r="56" spans="1:15" ht="38.25">
      <c r="A56" s="247" t="s">
        <v>598</v>
      </c>
      <c r="B56" s="246" t="s">
        <v>599</v>
      </c>
      <c r="C56" s="247" t="s">
        <v>570</v>
      </c>
      <c r="D56" s="248">
        <v>160.19999999999999</v>
      </c>
      <c r="E56" s="248">
        <v>14.932</v>
      </c>
      <c r="F56" s="252">
        <f t="shared" si="4"/>
        <v>2392.1063999999997</v>
      </c>
      <c r="G56" s="353">
        <f>'[1]Memoria de Calculo'!$M$342</f>
        <v>166.32</v>
      </c>
      <c r="H56" s="358">
        <v>-6.12</v>
      </c>
      <c r="I56" s="353">
        <f>166.32-6.12</f>
        <v>160.19999999999999</v>
      </c>
      <c r="J56" s="252"/>
      <c r="K56" s="249">
        <f>E56*G56</f>
        <v>2483.4902400000001</v>
      </c>
      <c r="L56" s="249">
        <f>E56*H56</f>
        <v>-91.383840000000006</v>
      </c>
      <c r="M56" s="249">
        <f t="shared" si="5"/>
        <v>2392.1063999999997</v>
      </c>
      <c r="N56" s="302"/>
      <c r="O56" s="445"/>
    </row>
    <row r="57" spans="1:15" ht="38.25">
      <c r="A57" s="247" t="s">
        <v>600</v>
      </c>
      <c r="B57" s="246" t="s">
        <v>601</v>
      </c>
      <c r="C57" s="247" t="s">
        <v>570</v>
      </c>
      <c r="D57" s="248">
        <v>400</v>
      </c>
      <c r="E57" s="248">
        <v>14.34075</v>
      </c>
      <c r="F57" s="252">
        <f t="shared" si="4"/>
        <v>5736.3</v>
      </c>
      <c r="G57" s="353">
        <f>'[1]Memoria de Calculo'!$M$350</f>
        <v>38.97</v>
      </c>
      <c r="H57" s="358">
        <v>280.27999999999997</v>
      </c>
      <c r="I57" s="353">
        <f>38.97+H57</f>
        <v>319.25</v>
      </c>
      <c r="J57" s="252"/>
      <c r="K57" s="249">
        <f>E57*G57</f>
        <v>558.85902750000002</v>
      </c>
      <c r="L57" s="249">
        <f>E57*H57</f>
        <v>4019.4254099999994</v>
      </c>
      <c r="M57" s="249">
        <f t="shared" si="5"/>
        <v>4578.2844374999995</v>
      </c>
      <c r="N57" s="302"/>
      <c r="O57" s="460"/>
    </row>
    <row r="58" spans="1:15" s="284" customFormat="1" ht="38.25">
      <c r="A58" s="247" t="s">
        <v>602</v>
      </c>
      <c r="B58" s="246" t="s">
        <v>603</v>
      </c>
      <c r="C58" s="247" t="s">
        <v>570</v>
      </c>
      <c r="D58" s="248">
        <v>306.3</v>
      </c>
      <c r="E58" s="248">
        <v>15.9748</v>
      </c>
      <c r="F58" s="252">
        <f t="shared" si="4"/>
        <v>4893.0812400000004</v>
      </c>
      <c r="G58" s="260"/>
      <c r="H58" s="358">
        <v>281.86</v>
      </c>
      <c r="I58" s="377">
        <v>281.86</v>
      </c>
      <c r="J58" s="252"/>
      <c r="K58" s="249">
        <f t="shared" ref="K58" si="6">E58*G58</f>
        <v>0</v>
      </c>
      <c r="L58" s="359">
        <f>E58*H58</f>
        <v>4502.6571279999998</v>
      </c>
      <c r="M58" s="249">
        <f t="shared" si="5"/>
        <v>4502.6571279999998</v>
      </c>
      <c r="N58" s="302"/>
      <c r="O58" s="457"/>
    </row>
    <row r="59" spans="1:15" s="284" customFormat="1" ht="25.5">
      <c r="A59" s="247" t="s">
        <v>604</v>
      </c>
      <c r="B59" s="246" t="s">
        <v>605</v>
      </c>
      <c r="C59" s="247" t="s">
        <v>23</v>
      </c>
      <c r="D59" s="248">
        <v>13.42</v>
      </c>
      <c r="E59" s="248">
        <v>396.33800000000002</v>
      </c>
      <c r="F59" s="252">
        <f t="shared" si="4"/>
        <v>5318.8559599999999</v>
      </c>
      <c r="G59" s="353">
        <f>'[1]Memoria de Calculo'!$M$356</f>
        <v>7.94</v>
      </c>
      <c r="H59" s="358">
        <v>1.68</v>
      </c>
      <c r="I59" s="353">
        <f>7.94+H59</f>
        <v>9.620000000000001</v>
      </c>
      <c r="J59" s="252"/>
      <c r="K59" s="249">
        <f>E59*G59</f>
        <v>3146.9237200000002</v>
      </c>
      <c r="L59" s="249">
        <f>E59*H59</f>
        <v>665.84784000000002</v>
      </c>
      <c r="M59" s="249">
        <f t="shared" si="5"/>
        <v>3812.7715600000006</v>
      </c>
      <c r="N59" s="302"/>
      <c r="O59" s="461"/>
    </row>
    <row r="60" spans="1:15" ht="25.5">
      <c r="A60" s="247" t="s">
        <v>606</v>
      </c>
      <c r="B60" s="246" t="s">
        <v>579</v>
      </c>
      <c r="C60" s="247" t="s">
        <v>23</v>
      </c>
      <c r="D60" s="248">
        <v>13.42</v>
      </c>
      <c r="E60" s="248">
        <v>153.95400000000001</v>
      </c>
      <c r="F60" s="252">
        <f t="shared" si="4"/>
        <v>2066.06268</v>
      </c>
      <c r="G60" s="353">
        <f>'[1]Memoria de Calculo'!$M$363</f>
        <v>7.94</v>
      </c>
      <c r="H60" s="358">
        <v>1.68</v>
      </c>
      <c r="I60" s="353">
        <f>7.94+1.68</f>
        <v>9.620000000000001</v>
      </c>
      <c r="J60" s="252"/>
      <c r="K60" s="249">
        <f>E60*G60</f>
        <v>1222.3947600000001</v>
      </c>
      <c r="L60" s="249">
        <f>E60*H60</f>
        <v>258.64272</v>
      </c>
      <c r="M60" s="249">
        <f t="shared" si="5"/>
        <v>1481.0374800000002</v>
      </c>
      <c r="N60" s="302"/>
      <c r="O60" s="460"/>
    </row>
    <row r="61" spans="1:15" s="415" customFormat="1" ht="30">
      <c r="A61" s="396" t="s">
        <v>52</v>
      </c>
      <c r="B61" s="397" t="s">
        <v>607</v>
      </c>
      <c r="C61" s="396"/>
      <c r="D61" s="398"/>
      <c r="E61" s="399"/>
      <c r="F61" s="400">
        <f>SUM(F62:F71)+0.01</f>
        <v>41622.770968000004</v>
      </c>
      <c r="G61" s="395"/>
      <c r="H61" s="446"/>
      <c r="I61" s="395"/>
      <c r="J61" s="392"/>
      <c r="K61" s="404">
        <f>SUM(K62:K71)</f>
        <v>2965.146307</v>
      </c>
      <c r="L61" s="414">
        <f>SUM(L62:L71)</f>
        <v>16356.959439499999</v>
      </c>
      <c r="M61" s="414">
        <f>SUM(M62:M71)</f>
        <v>19514.4512565</v>
      </c>
      <c r="N61" s="456"/>
      <c r="O61" s="445"/>
    </row>
    <row r="62" spans="1:15" ht="38.25">
      <c r="A62" s="247" t="s">
        <v>54</v>
      </c>
      <c r="B62" s="246" t="s">
        <v>608</v>
      </c>
      <c r="C62" s="247" t="s">
        <v>8</v>
      </c>
      <c r="D62" s="248">
        <v>216.86</v>
      </c>
      <c r="E62" s="248">
        <v>51.439700000000002</v>
      </c>
      <c r="F62" s="252">
        <f t="shared" si="4"/>
        <v>11155.213342000001</v>
      </c>
      <c r="G62" s="353">
        <f>'[2]Memoria de Calculo'!$M$358</f>
        <v>27.87</v>
      </c>
      <c r="H62" s="358">
        <v>93.42</v>
      </c>
      <c r="I62" s="353">
        <f>27.87+H62</f>
        <v>121.29</v>
      </c>
      <c r="J62" s="252"/>
      <c r="K62" s="249">
        <f>E62*G62</f>
        <v>1433.6244390000002</v>
      </c>
      <c r="L62" s="249">
        <f t="shared" ref="L62:L67" si="7">E62*H62</f>
        <v>4805.4967740000002</v>
      </c>
      <c r="M62" s="249">
        <f>E62*I62</f>
        <v>6239.1212130000004</v>
      </c>
      <c r="N62" s="302"/>
      <c r="O62" s="460"/>
    </row>
    <row r="63" spans="1:15" s="284" customFormat="1" ht="38.25">
      <c r="A63" s="247" t="s">
        <v>55</v>
      </c>
      <c r="B63" s="246" t="s">
        <v>595</v>
      </c>
      <c r="C63" s="247" t="s">
        <v>570</v>
      </c>
      <c r="D63" s="248">
        <v>233.7</v>
      </c>
      <c r="E63" s="248">
        <v>20.489850000000001</v>
      </c>
      <c r="F63" s="252">
        <f t="shared" si="4"/>
        <v>4788.4779449999996</v>
      </c>
      <c r="G63" s="353">
        <f>'[2]Memoria de Calculo'!$M$366</f>
        <v>19.84</v>
      </c>
      <c r="H63" s="358">
        <v>127.7</v>
      </c>
      <c r="I63" s="353">
        <f>19.84+H63</f>
        <v>147.54</v>
      </c>
      <c r="J63" s="252"/>
      <c r="K63" s="249">
        <f>E63*G63</f>
        <v>406.51862399999999</v>
      </c>
      <c r="L63" s="249">
        <f t="shared" si="7"/>
        <v>2616.5538449999999</v>
      </c>
      <c r="M63" s="249">
        <f>E63*I63</f>
        <v>3023.0724689999997</v>
      </c>
      <c r="N63" s="302"/>
      <c r="O63" s="461"/>
    </row>
    <row r="64" spans="1:15" s="284" customFormat="1" ht="38.25">
      <c r="A64" s="247" t="s">
        <v>609</v>
      </c>
      <c r="B64" s="246" t="s">
        <v>610</v>
      </c>
      <c r="C64" s="247" t="s">
        <v>570</v>
      </c>
      <c r="D64" s="248">
        <v>114.9</v>
      </c>
      <c r="E64" s="248">
        <v>19.3826</v>
      </c>
      <c r="F64" s="252">
        <f t="shared" si="4"/>
        <v>2227.0607399999999</v>
      </c>
      <c r="G64" s="260"/>
      <c r="H64" s="358">
        <v>77.42</v>
      </c>
      <c r="I64" s="377">
        <v>77.42</v>
      </c>
      <c r="J64" s="252"/>
      <c r="K64" s="249">
        <f t="shared" ref="K64:K79" si="8">E64*G64</f>
        <v>0</v>
      </c>
      <c r="L64" s="370">
        <f t="shared" si="7"/>
        <v>1500.6008919999999</v>
      </c>
      <c r="M64" s="249">
        <f t="shared" ref="M64:M71" si="9">E64*I64</f>
        <v>1500.6008919999999</v>
      </c>
      <c r="N64" s="302"/>
      <c r="O64" s="457"/>
    </row>
    <row r="65" spans="1:15" s="284" customFormat="1" ht="38.25">
      <c r="A65" s="247" t="s">
        <v>611</v>
      </c>
      <c r="B65" s="246" t="s">
        <v>612</v>
      </c>
      <c r="C65" s="247" t="s">
        <v>570</v>
      </c>
      <c r="D65" s="248">
        <v>118</v>
      </c>
      <c r="E65" s="248">
        <v>20.12435</v>
      </c>
      <c r="F65" s="252">
        <f t="shared" si="4"/>
        <v>2374.6732999999999</v>
      </c>
      <c r="G65" s="353">
        <f>'[2]Memoria de Calculo'!$M$380</f>
        <v>21.12</v>
      </c>
      <c r="H65" s="358">
        <v>45.87</v>
      </c>
      <c r="I65" s="353">
        <f>21.12+H65</f>
        <v>66.989999999999995</v>
      </c>
      <c r="J65" s="252"/>
      <c r="K65" s="249">
        <f>E65*G65</f>
        <v>425.02627200000001</v>
      </c>
      <c r="L65" s="249">
        <f t="shared" si="7"/>
        <v>923.10393449999992</v>
      </c>
      <c r="M65" s="249">
        <f>E65*I65</f>
        <v>1348.1302065</v>
      </c>
      <c r="N65" s="302"/>
      <c r="O65" s="461"/>
    </row>
    <row r="66" spans="1:15" ht="38.25">
      <c r="A66" s="247" t="s">
        <v>613</v>
      </c>
      <c r="B66" s="246" t="s">
        <v>597</v>
      </c>
      <c r="C66" s="247" t="s">
        <v>570</v>
      </c>
      <c r="D66" s="248">
        <v>239.3</v>
      </c>
      <c r="E66" s="248">
        <v>17.565799999999999</v>
      </c>
      <c r="F66" s="252">
        <f t="shared" si="4"/>
        <v>4203.4959399999998</v>
      </c>
      <c r="G66" s="353">
        <f>'[2]Memoria de Calculo'!$M$391</f>
        <v>16.04</v>
      </c>
      <c r="H66" s="358">
        <v>146.22999999999999</v>
      </c>
      <c r="I66" s="353">
        <f>16.04+157.18</f>
        <v>173.22</v>
      </c>
      <c r="J66" s="252"/>
      <c r="K66" s="249">
        <f>E66*G66</f>
        <v>281.75543199999998</v>
      </c>
      <c r="L66" s="249">
        <f t="shared" si="7"/>
        <v>2568.6469339999999</v>
      </c>
      <c r="M66" s="249">
        <f>E66*I66</f>
        <v>3042.7478759999999</v>
      </c>
      <c r="N66" s="302"/>
      <c r="O66" s="460"/>
    </row>
    <row r="67" spans="1:15" s="284" customFormat="1" ht="38.25">
      <c r="A67" s="247" t="s">
        <v>614</v>
      </c>
      <c r="B67" s="246" t="s">
        <v>599</v>
      </c>
      <c r="C67" s="247" t="s">
        <v>570</v>
      </c>
      <c r="D67" s="248">
        <v>176.8</v>
      </c>
      <c r="E67" s="248">
        <v>14.932</v>
      </c>
      <c r="F67" s="252">
        <f t="shared" si="4"/>
        <v>2639.9776000000002</v>
      </c>
      <c r="G67" s="260"/>
      <c r="H67" s="358">
        <v>76.819999999999993</v>
      </c>
      <c r="I67" s="377">
        <v>76.819999999999993</v>
      </c>
      <c r="J67" s="252"/>
      <c r="K67" s="249"/>
      <c r="L67" s="249">
        <f t="shared" si="7"/>
        <v>1147.0762399999999</v>
      </c>
      <c r="M67" s="249">
        <f>E67*I67</f>
        <v>1147.0762399999999</v>
      </c>
      <c r="N67" s="302"/>
      <c r="O67" s="443"/>
    </row>
    <row r="68" spans="1:15" ht="38.25">
      <c r="A68" s="247" t="s">
        <v>615</v>
      </c>
      <c r="B68" s="246" t="s">
        <v>601</v>
      </c>
      <c r="C68" s="247" t="s">
        <v>570</v>
      </c>
      <c r="D68" s="248">
        <v>100.4</v>
      </c>
      <c r="E68" s="248">
        <v>14.3407</v>
      </c>
      <c r="F68" s="252">
        <f t="shared" si="4"/>
        <v>1439.80628</v>
      </c>
      <c r="G68" s="260"/>
      <c r="H68" s="353"/>
      <c r="I68" s="260"/>
      <c r="J68" s="252"/>
      <c r="K68" s="249">
        <f t="shared" si="8"/>
        <v>0</v>
      </c>
      <c r="L68" s="275"/>
      <c r="M68" s="249">
        <f t="shared" si="9"/>
        <v>0</v>
      </c>
      <c r="N68" s="302"/>
      <c r="O68" s="445"/>
    </row>
    <row r="69" spans="1:15" ht="25.5">
      <c r="A69" s="247" t="s">
        <v>616</v>
      </c>
      <c r="B69" s="246" t="s">
        <v>605</v>
      </c>
      <c r="C69" s="247" t="s">
        <v>23</v>
      </c>
      <c r="D69" s="248">
        <v>11.62</v>
      </c>
      <c r="E69" s="248">
        <v>396.33800000000002</v>
      </c>
      <c r="F69" s="252">
        <f t="shared" si="4"/>
        <v>4605.4475599999996</v>
      </c>
      <c r="G69" s="353">
        <f>'[2]Memoria de Calculo'!$M$398</f>
        <v>0.76</v>
      </c>
      <c r="H69" s="358">
        <v>5.08</v>
      </c>
      <c r="I69" s="353">
        <f>0.76+H69</f>
        <v>5.84</v>
      </c>
      <c r="J69" s="252"/>
      <c r="K69" s="249">
        <f>E69*G69</f>
        <v>301.21688</v>
      </c>
      <c r="L69" s="249">
        <f>E69*H69</f>
        <v>2013.3970400000001</v>
      </c>
      <c r="M69" s="249">
        <f>E69*I69</f>
        <v>2314.6139200000002</v>
      </c>
      <c r="N69" s="302"/>
      <c r="O69" s="460"/>
    </row>
    <row r="70" spans="1:15" ht="25.5">
      <c r="A70" s="247" t="s">
        <v>617</v>
      </c>
      <c r="B70" s="246" t="s">
        <v>579</v>
      </c>
      <c r="C70" s="247" t="s">
        <v>23</v>
      </c>
      <c r="D70" s="248">
        <v>11.62</v>
      </c>
      <c r="E70" s="248">
        <v>153.95349999999999</v>
      </c>
      <c r="F70" s="252">
        <f t="shared" si="4"/>
        <v>1788.9396699999998</v>
      </c>
      <c r="G70" s="353">
        <f>'[2]Memoria de Calculo'!$M$405</f>
        <v>0.76</v>
      </c>
      <c r="H70" s="358">
        <v>5.08</v>
      </c>
      <c r="I70" s="353">
        <f>0.76+H70</f>
        <v>5.84</v>
      </c>
      <c r="J70" s="252"/>
      <c r="K70" s="249">
        <f>E70*G70</f>
        <v>117.00466</v>
      </c>
      <c r="L70" s="249">
        <f>E70*H70</f>
        <v>782.08377999999993</v>
      </c>
      <c r="M70" s="249">
        <f>E70*I70</f>
        <v>899.08843999999988</v>
      </c>
      <c r="N70" s="302"/>
      <c r="O70" s="460"/>
    </row>
    <row r="71" spans="1:15" ht="25.5">
      <c r="A71" s="247" t="s">
        <v>618</v>
      </c>
      <c r="B71" s="246" t="s">
        <v>619</v>
      </c>
      <c r="C71" s="247" t="s">
        <v>105</v>
      </c>
      <c r="D71" s="248">
        <v>182.89</v>
      </c>
      <c r="E71" s="248">
        <v>34.991900000000001</v>
      </c>
      <c r="F71" s="252">
        <f t="shared" si="4"/>
        <v>6399.6685909999997</v>
      </c>
      <c r="G71" s="288"/>
      <c r="H71" s="353"/>
      <c r="I71" s="260"/>
      <c r="J71" s="252"/>
      <c r="K71" s="249">
        <f t="shared" si="8"/>
        <v>0</v>
      </c>
      <c r="L71" s="249"/>
      <c r="M71" s="249">
        <f t="shared" si="9"/>
        <v>0</v>
      </c>
      <c r="N71" s="302"/>
    </row>
    <row r="72" spans="1:15">
      <c r="A72" s="253" t="s">
        <v>56</v>
      </c>
      <c r="B72" s="254" t="s">
        <v>620</v>
      </c>
      <c r="C72" s="253"/>
      <c r="D72" s="255"/>
      <c r="E72" s="345"/>
      <c r="F72" s="350">
        <f>SUM(F73:F79)+0.02</f>
        <v>62677.392926</v>
      </c>
      <c r="G72" s="288"/>
      <c r="H72" s="353"/>
      <c r="I72" s="260"/>
      <c r="J72" s="252"/>
      <c r="K72" s="249">
        <f>SUM(K73:K79)</f>
        <v>0</v>
      </c>
      <c r="L72" s="249"/>
      <c r="M72" s="249"/>
      <c r="N72" s="302"/>
    </row>
    <row r="73" spans="1:15" ht="38.25">
      <c r="A73" s="247" t="s">
        <v>58</v>
      </c>
      <c r="B73" s="246" t="s">
        <v>621</v>
      </c>
      <c r="C73" s="247" t="s">
        <v>8</v>
      </c>
      <c r="D73" s="248">
        <v>113.89</v>
      </c>
      <c r="E73" s="248">
        <v>20.769300000000001</v>
      </c>
      <c r="F73" s="252">
        <f t="shared" si="4"/>
        <v>2365.4155770000002</v>
      </c>
      <c r="G73" s="288"/>
      <c r="H73" s="353"/>
      <c r="I73" s="260"/>
      <c r="J73" s="252"/>
      <c r="K73" s="249">
        <f t="shared" si="8"/>
        <v>0</v>
      </c>
      <c r="L73" s="249"/>
      <c r="M73" s="249"/>
      <c r="N73" s="302"/>
    </row>
    <row r="74" spans="1:15" ht="38.25">
      <c r="A74" s="247" t="s">
        <v>622</v>
      </c>
      <c r="B74" s="250" t="s">
        <v>623</v>
      </c>
      <c r="C74" s="247" t="s">
        <v>570</v>
      </c>
      <c r="D74" s="248">
        <v>3.3</v>
      </c>
      <c r="E74" s="248">
        <v>18.373999999999999</v>
      </c>
      <c r="F74" s="252">
        <f t="shared" si="4"/>
        <v>60.634199999999993</v>
      </c>
      <c r="G74" s="288"/>
      <c r="H74" s="353"/>
      <c r="I74" s="260"/>
      <c r="J74" s="252"/>
      <c r="K74" s="249">
        <f t="shared" si="8"/>
        <v>0</v>
      </c>
      <c r="L74" s="249"/>
      <c r="M74" s="249"/>
      <c r="N74" s="302"/>
    </row>
    <row r="75" spans="1:15" ht="38.25">
      <c r="A75" s="247" t="s">
        <v>624</v>
      </c>
      <c r="B75" s="250" t="s">
        <v>625</v>
      </c>
      <c r="C75" s="247" t="s">
        <v>570</v>
      </c>
      <c r="D75" s="248">
        <v>922.6</v>
      </c>
      <c r="E75" s="248">
        <v>16.759550000000001</v>
      </c>
      <c r="F75" s="252">
        <f t="shared" si="4"/>
        <v>15462.360830000001</v>
      </c>
      <c r="G75" s="288"/>
      <c r="H75" s="353"/>
      <c r="I75" s="260"/>
      <c r="J75" s="252"/>
      <c r="K75" s="249">
        <f t="shared" si="8"/>
        <v>0</v>
      </c>
      <c r="L75" s="249"/>
      <c r="M75" s="249"/>
      <c r="N75" s="302"/>
    </row>
    <row r="76" spans="1:15" ht="38.25">
      <c r="A76" s="247" t="s">
        <v>626</v>
      </c>
      <c r="B76" s="250" t="s">
        <v>627</v>
      </c>
      <c r="C76" s="247" t="s">
        <v>570</v>
      </c>
      <c r="D76" s="248">
        <v>159.30000000000001</v>
      </c>
      <c r="E76" s="248">
        <v>14.297750000000001</v>
      </c>
      <c r="F76" s="252">
        <f t="shared" si="4"/>
        <v>2277.6315750000003</v>
      </c>
      <c r="G76" s="288"/>
      <c r="H76" s="353"/>
      <c r="I76" s="260"/>
      <c r="J76" s="252"/>
      <c r="K76" s="249">
        <f t="shared" si="8"/>
        <v>0</v>
      </c>
      <c r="L76" s="249"/>
      <c r="M76" s="249"/>
      <c r="N76" s="302"/>
    </row>
    <row r="77" spans="1:15" ht="25.5">
      <c r="A77" s="247" t="s">
        <v>628</v>
      </c>
      <c r="B77" s="246" t="s">
        <v>605</v>
      </c>
      <c r="C77" s="247" t="s">
        <v>23</v>
      </c>
      <c r="D77" s="248">
        <v>28.04</v>
      </c>
      <c r="E77" s="248">
        <v>396.33800000000002</v>
      </c>
      <c r="F77" s="252">
        <f t="shared" si="4"/>
        <v>11113.317520000001</v>
      </c>
      <c r="G77" s="288"/>
      <c r="H77" s="353"/>
      <c r="I77" s="260"/>
      <c r="J77" s="252"/>
      <c r="K77" s="249">
        <f t="shared" si="8"/>
        <v>0</v>
      </c>
      <c r="L77" s="249"/>
      <c r="M77" s="249"/>
      <c r="N77" s="302"/>
    </row>
    <row r="78" spans="1:15" ht="25.5">
      <c r="A78" s="247" t="s">
        <v>629</v>
      </c>
      <c r="B78" s="246" t="s">
        <v>579</v>
      </c>
      <c r="C78" s="247" t="s">
        <v>23</v>
      </c>
      <c r="D78" s="248">
        <v>28.04</v>
      </c>
      <c r="E78" s="248">
        <v>153.95349999999999</v>
      </c>
      <c r="F78" s="252">
        <f t="shared" si="4"/>
        <v>4316.8561399999999</v>
      </c>
      <c r="G78" s="288"/>
      <c r="H78" s="353"/>
      <c r="I78" s="260"/>
      <c r="J78" s="252"/>
      <c r="K78" s="249">
        <f t="shared" si="8"/>
        <v>0</v>
      </c>
      <c r="L78" s="249"/>
      <c r="M78" s="249"/>
      <c r="N78" s="302"/>
    </row>
    <row r="79" spans="1:15" ht="38.25">
      <c r="A79" s="247" t="s">
        <v>630</v>
      </c>
      <c r="B79" s="246" t="s">
        <v>631</v>
      </c>
      <c r="C79" s="247" t="s">
        <v>8</v>
      </c>
      <c r="D79" s="248">
        <v>345.56</v>
      </c>
      <c r="E79" s="248">
        <v>78.368899999999996</v>
      </c>
      <c r="F79" s="252">
        <f t="shared" si="4"/>
        <v>27081.157083999999</v>
      </c>
      <c r="G79" s="288"/>
      <c r="H79" s="353"/>
      <c r="I79" s="260"/>
      <c r="J79" s="252"/>
      <c r="K79" s="249">
        <f t="shared" si="8"/>
        <v>0</v>
      </c>
      <c r="L79" s="249"/>
      <c r="M79" s="249"/>
      <c r="N79" s="302"/>
    </row>
    <row r="80" spans="1:15">
      <c r="A80" s="253" t="s">
        <v>632</v>
      </c>
      <c r="B80" s="254" t="s">
        <v>633</v>
      </c>
      <c r="C80" s="253"/>
      <c r="D80" s="255"/>
      <c r="E80" s="345"/>
      <c r="F80" s="350">
        <f>SUM(F81:F84)</f>
        <v>7629.2276000000002</v>
      </c>
      <c r="G80" s="288"/>
      <c r="H80" s="353"/>
      <c r="I80" s="260"/>
      <c r="J80" s="252"/>
      <c r="K80" s="249">
        <f>SUM(K81:K84)</f>
        <v>0</v>
      </c>
      <c r="L80" s="249"/>
      <c r="M80" s="249"/>
      <c r="N80" s="302"/>
    </row>
    <row r="81" spans="1:15">
      <c r="A81" s="247" t="s">
        <v>634</v>
      </c>
      <c r="B81" s="246" t="s">
        <v>635</v>
      </c>
      <c r="C81" s="247" t="s">
        <v>105</v>
      </c>
      <c r="D81" s="248">
        <v>68.5</v>
      </c>
      <c r="E81" s="248">
        <v>44.204799999999999</v>
      </c>
      <c r="F81" s="252">
        <f t="shared" si="4"/>
        <v>3028.0288</v>
      </c>
      <c r="G81" s="288"/>
      <c r="H81" s="353"/>
      <c r="I81" s="260"/>
      <c r="J81" s="252"/>
      <c r="K81" s="249"/>
      <c r="L81" s="249"/>
      <c r="M81" s="249"/>
      <c r="N81" s="302"/>
    </row>
    <row r="82" spans="1:15" ht="25.5">
      <c r="A82" s="247" t="s">
        <v>636</v>
      </c>
      <c r="B82" s="246" t="s">
        <v>637</v>
      </c>
      <c r="C82" s="247" t="s">
        <v>105</v>
      </c>
      <c r="D82" s="248">
        <v>36.6</v>
      </c>
      <c r="E82" s="248">
        <v>32.186</v>
      </c>
      <c r="F82" s="252">
        <f t="shared" si="4"/>
        <v>1178.0076000000001</v>
      </c>
      <c r="G82" s="288"/>
      <c r="H82" s="353"/>
      <c r="I82" s="260"/>
      <c r="J82" s="252"/>
      <c r="K82" s="249"/>
      <c r="L82" s="249"/>
      <c r="M82" s="249"/>
      <c r="N82" s="302"/>
    </row>
    <row r="83" spans="1:15" ht="25.5">
      <c r="A83" s="247" t="s">
        <v>638</v>
      </c>
      <c r="B83" s="246" t="s">
        <v>639</v>
      </c>
      <c r="C83" s="247" t="s">
        <v>105</v>
      </c>
      <c r="D83" s="248">
        <v>68.5</v>
      </c>
      <c r="E83" s="248">
        <v>43.3232</v>
      </c>
      <c r="F83" s="252">
        <f t="shared" si="4"/>
        <v>2967.6392000000001</v>
      </c>
      <c r="G83" s="288"/>
      <c r="H83" s="353"/>
      <c r="I83" s="260"/>
      <c r="J83" s="252"/>
      <c r="K83" s="249"/>
      <c r="L83" s="249"/>
      <c r="M83" s="249"/>
      <c r="N83" s="302"/>
    </row>
    <row r="84" spans="1:15" ht="25.5">
      <c r="A84" s="247" t="s">
        <v>640</v>
      </c>
      <c r="B84" s="246" t="s">
        <v>641</v>
      </c>
      <c r="C84" s="247" t="s">
        <v>105</v>
      </c>
      <c r="D84" s="248">
        <v>8</v>
      </c>
      <c r="E84" s="248">
        <v>56.944000000000003</v>
      </c>
      <c r="F84" s="252">
        <f t="shared" si="4"/>
        <v>455.55200000000002</v>
      </c>
      <c r="G84" s="288"/>
      <c r="H84" s="353"/>
      <c r="I84" s="260"/>
      <c r="J84" s="252"/>
      <c r="K84" s="249"/>
      <c r="L84" s="249"/>
      <c r="M84" s="249"/>
      <c r="N84" s="302"/>
    </row>
    <row r="85" spans="1:15">
      <c r="A85" s="520"/>
      <c r="B85" s="521"/>
      <c r="C85" s="521"/>
      <c r="D85" s="521"/>
      <c r="E85" s="521"/>
      <c r="F85" s="521"/>
      <c r="G85" s="521"/>
      <c r="H85" s="521"/>
      <c r="I85" s="521"/>
      <c r="J85" s="521"/>
      <c r="K85" s="521"/>
      <c r="L85" s="521"/>
      <c r="M85" s="522"/>
      <c r="N85" s="302"/>
    </row>
    <row r="86" spans="1:15" s="420" customFormat="1" ht="18" customHeight="1">
      <c r="A86" s="384" t="s">
        <v>642</v>
      </c>
      <c r="B86" s="563" t="s">
        <v>643</v>
      </c>
      <c r="C86" s="564"/>
      <c r="D86" s="564"/>
      <c r="E86" s="565"/>
      <c r="F86" s="385">
        <f>SUM(F87)</f>
        <v>42616.161815999993</v>
      </c>
      <c r="G86" s="386"/>
      <c r="H86" s="387"/>
      <c r="I86" s="388"/>
      <c r="J86" s="417"/>
      <c r="K86" s="390">
        <f>K87</f>
        <v>26103.3536288</v>
      </c>
      <c r="L86" s="390">
        <f>L87</f>
        <v>10264.7068096</v>
      </c>
      <c r="M86" s="390">
        <f>M87</f>
        <v>36368.060438399996</v>
      </c>
      <c r="N86" s="419"/>
    </row>
    <row r="87" spans="1:15" ht="51">
      <c r="A87" s="247" t="s">
        <v>644</v>
      </c>
      <c r="B87" s="250" t="s">
        <v>645</v>
      </c>
      <c r="C87" s="247" t="s">
        <v>8</v>
      </c>
      <c r="D87" s="248">
        <v>976.65</v>
      </c>
      <c r="E87" s="248">
        <v>43.635039999999996</v>
      </c>
      <c r="F87" s="252">
        <f>E87*D87</f>
        <v>42616.161815999993</v>
      </c>
      <c r="G87" s="288">
        <v>598.22</v>
      </c>
      <c r="H87" s="353">
        <v>235.24</v>
      </c>
      <c r="I87" s="377">
        <f>G87+H87</f>
        <v>833.46</v>
      </c>
      <c r="J87" s="252"/>
      <c r="K87" s="249">
        <f>E87*G87</f>
        <v>26103.3536288</v>
      </c>
      <c r="L87" s="249">
        <f>E87*H87</f>
        <v>10264.7068096</v>
      </c>
      <c r="M87" s="249">
        <f>E87*I87</f>
        <v>36368.060438399996</v>
      </c>
      <c r="N87" s="376"/>
      <c r="O87" s="349"/>
    </row>
    <row r="88" spans="1:15">
      <c r="A88" s="520"/>
      <c r="B88" s="521"/>
      <c r="C88" s="521"/>
      <c r="D88" s="521"/>
      <c r="E88" s="521"/>
      <c r="F88" s="521"/>
      <c r="G88" s="521"/>
      <c r="H88" s="521"/>
      <c r="I88" s="521"/>
      <c r="J88" s="521"/>
      <c r="K88" s="521"/>
      <c r="L88" s="521"/>
      <c r="M88" s="522"/>
      <c r="N88" s="302"/>
    </row>
    <row r="89" spans="1:15" s="420" customFormat="1" ht="18" customHeight="1">
      <c r="A89" s="384" t="s">
        <v>546</v>
      </c>
      <c r="B89" s="563" t="s">
        <v>70</v>
      </c>
      <c r="C89" s="564"/>
      <c r="D89" s="564"/>
      <c r="E89" s="565"/>
      <c r="F89" s="385">
        <f>SUM(F90,F95,F98)+0.01</f>
        <v>61182.364652000004</v>
      </c>
      <c r="G89" s="386"/>
      <c r="H89" s="387"/>
      <c r="I89" s="388"/>
      <c r="J89" s="417"/>
      <c r="K89" s="431"/>
      <c r="L89" s="431"/>
      <c r="M89" s="431"/>
      <c r="N89" s="419"/>
    </row>
    <row r="90" spans="1:15">
      <c r="A90" s="253" t="s">
        <v>71</v>
      </c>
      <c r="B90" s="254" t="s">
        <v>646</v>
      </c>
      <c r="C90" s="253"/>
      <c r="D90" s="255"/>
      <c r="E90" s="345"/>
      <c r="F90" s="351">
        <f>SUM(F91:F94)+0.01</f>
        <v>36105.598483000002</v>
      </c>
      <c r="G90" s="288"/>
      <c r="H90" s="292"/>
      <c r="I90" s="260"/>
      <c r="J90" s="276"/>
      <c r="K90" s="249"/>
      <c r="L90" s="249"/>
      <c r="M90" s="249"/>
      <c r="N90" s="302"/>
    </row>
    <row r="91" spans="1:15" ht="25.5">
      <c r="A91" s="247" t="s">
        <v>647</v>
      </c>
      <c r="B91" s="250" t="s">
        <v>648</v>
      </c>
      <c r="C91" s="247" t="s">
        <v>8</v>
      </c>
      <c r="D91" s="248">
        <v>9.24</v>
      </c>
      <c r="E91" s="248">
        <v>365.47399999999999</v>
      </c>
      <c r="F91" s="252">
        <f t="shared" ref="F91:F99" si="10">E91*D91</f>
        <v>3376.9797600000002</v>
      </c>
      <c r="G91" s="288"/>
      <c r="H91" s="353"/>
      <c r="I91" s="260"/>
      <c r="J91" s="252"/>
      <c r="K91" s="249"/>
      <c r="L91" s="249"/>
      <c r="M91" s="249"/>
      <c r="N91" s="302"/>
    </row>
    <row r="92" spans="1:15" ht="51">
      <c r="A92" s="247" t="s">
        <v>649</v>
      </c>
      <c r="B92" s="250" t="s">
        <v>650</v>
      </c>
      <c r="C92" s="247" t="s">
        <v>8</v>
      </c>
      <c r="D92" s="248">
        <v>340.05</v>
      </c>
      <c r="E92" s="248">
        <v>19.877109999999998</v>
      </c>
      <c r="F92" s="252">
        <f t="shared" si="10"/>
        <v>6759.2112554999994</v>
      </c>
      <c r="G92" s="288"/>
      <c r="H92" s="353"/>
      <c r="I92" s="260"/>
      <c r="J92" s="252"/>
      <c r="K92" s="249"/>
      <c r="L92" s="249"/>
      <c r="M92" s="249"/>
      <c r="N92" s="302"/>
    </row>
    <row r="93" spans="1:15" ht="38.25">
      <c r="A93" s="247" t="s">
        <v>651</v>
      </c>
      <c r="B93" s="246" t="s">
        <v>652</v>
      </c>
      <c r="C93" s="247" t="s">
        <v>8</v>
      </c>
      <c r="D93" s="248">
        <v>340.05</v>
      </c>
      <c r="E93" s="248">
        <v>14.85675</v>
      </c>
      <c r="F93" s="252">
        <f t="shared" si="10"/>
        <v>5052.0378375</v>
      </c>
      <c r="G93" s="288"/>
      <c r="H93" s="353"/>
      <c r="I93" s="260"/>
      <c r="J93" s="252"/>
      <c r="K93" s="249"/>
      <c r="L93" s="249"/>
      <c r="M93" s="249"/>
      <c r="N93" s="302"/>
    </row>
    <row r="94" spans="1:15" ht="38.25">
      <c r="A94" s="247" t="s">
        <v>653</v>
      </c>
      <c r="B94" s="246" t="s">
        <v>654</v>
      </c>
      <c r="C94" s="247" t="s">
        <v>8</v>
      </c>
      <c r="D94" s="248">
        <v>340.05</v>
      </c>
      <c r="E94" s="248">
        <v>61.512599999999999</v>
      </c>
      <c r="F94" s="252">
        <f t="shared" si="10"/>
        <v>20917.359629999999</v>
      </c>
      <c r="G94" s="288"/>
      <c r="H94" s="353"/>
      <c r="I94" s="260"/>
      <c r="J94" s="252"/>
      <c r="K94" s="249"/>
      <c r="L94" s="249"/>
      <c r="M94" s="249"/>
      <c r="N94" s="302"/>
    </row>
    <row r="95" spans="1:15">
      <c r="A95" s="253" t="s">
        <v>73</v>
      </c>
      <c r="B95" s="254" t="s">
        <v>655</v>
      </c>
      <c r="C95" s="253"/>
      <c r="D95" s="255"/>
      <c r="E95" s="345"/>
      <c r="F95" s="350">
        <f>SUM(F96:F97)-0.01</f>
        <v>12505.331349999999</v>
      </c>
      <c r="G95" s="288"/>
      <c r="H95" s="353"/>
      <c r="I95" s="260"/>
      <c r="J95" s="252"/>
      <c r="K95" s="249"/>
      <c r="L95" s="249"/>
      <c r="M95" s="249"/>
      <c r="N95" s="302"/>
    </row>
    <row r="96" spans="1:15" ht="25.5">
      <c r="A96" s="247" t="s">
        <v>656</v>
      </c>
      <c r="B96" s="250" t="s">
        <v>657</v>
      </c>
      <c r="C96" s="247" t="s">
        <v>105</v>
      </c>
      <c r="D96" s="248">
        <v>135.9</v>
      </c>
      <c r="E96" s="248">
        <v>53.869250000000001</v>
      </c>
      <c r="F96" s="252">
        <f t="shared" si="10"/>
        <v>7320.8310750000001</v>
      </c>
      <c r="G96" s="288"/>
      <c r="H96" s="353"/>
      <c r="I96" s="260"/>
      <c r="J96" s="252"/>
      <c r="K96" s="249"/>
      <c r="L96" s="249"/>
      <c r="M96" s="249"/>
      <c r="N96" s="302"/>
    </row>
    <row r="97" spans="1:16" ht="25.5">
      <c r="A97" s="247" t="s">
        <v>658</v>
      </c>
      <c r="B97" s="246" t="s">
        <v>659</v>
      </c>
      <c r="C97" s="247" t="s">
        <v>105</v>
      </c>
      <c r="D97" s="248">
        <v>78.05</v>
      </c>
      <c r="E97" s="248">
        <v>66.4255</v>
      </c>
      <c r="F97" s="252">
        <f t="shared" si="10"/>
        <v>5184.5102749999996</v>
      </c>
      <c r="G97" s="288"/>
      <c r="H97" s="353"/>
      <c r="I97" s="260"/>
      <c r="J97" s="252"/>
      <c r="K97" s="249"/>
      <c r="L97" s="249"/>
      <c r="M97" s="249"/>
      <c r="N97" s="302"/>
    </row>
    <row r="98" spans="1:16">
      <c r="A98" s="253" t="s">
        <v>548</v>
      </c>
      <c r="B98" s="254" t="s">
        <v>660</v>
      </c>
      <c r="C98" s="253"/>
      <c r="D98" s="255"/>
      <c r="E98" s="345"/>
      <c r="F98" s="350">
        <f>F99</f>
        <v>12571.424819</v>
      </c>
      <c r="G98" s="288"/>
      <c r="H98" s="353"/>
      <c r="I98" s="260"/>
      <c r="J98" s="252"/>
      <c r="K98" s="249"/>
      <c r="L98" s="249"/>
      <c r="M98" s="249"/>
      <c r="N98" s="302"/>
    </row>
    <row r="99" spans="1:16" ht="25.5">
      <c r="A99" s="247" t="s">
        <v>661</v>
      </c>
      <c r="B99" s="250" t="s">
        <v>662</v>
      </c>
      <c r="C99" s="247" t="s">
        <v>8</v>
      </c>
      <c r="D99" s="248">
        <v>383.54</v>
      </c>
      <c r="E99" s="248">
        <v>32.777349999999998</v>
      </c>
      <c r="F99" s="252">
        <f t="shared" si="10"/>
        <v>12571.424819</v>
      </c>
      <c r="G99" s="288"/>
      <c r="H99" s="353"/>
      <c r="I99" s="260"/>
      <c r="J99" s="252"/>
      <c r="K99" s="249"/>
      <c r="L99" s="249"/>
      <c r="M99" s="249"/>
      <c r="N99" s="302"/>
    </row>
    <row r="100" spans="1:16">
      <c r="A100" s="520"/>
      <c r="B100" s="521"/>
      <c r="C100" s="521"/>
      <c r="D100" s="521"/>
      <c r="E100" s="521"/>
      <c r="F100" s="521"/>
      <c r="G100" s="521"/>
      <c r="H100" s="521"/>
      <c r="I100" s="521"/>
      <c r="J100" s="521"/>
      <c r="K100" s="521"/>
      <c r="L100" s="521"/>
      <c r="M100" s="522"/>
      <c r="N100" s="302"/>
    </row>
    <row r="101" spans="1:16" s="436" customFormat="1" ht="18" customHeight="1">
      <c r="A101" s="384" t="s">
        <v>549</v>
      </c>
      <c r="B101" s="563" t="s">
        <v>663</v>
      </c>
      <c r="C101" s="564"/>
      <c r="D101" s="564"/>
      <c r="E101" s="565"/>
      <c r="F101" s="385">
        <f>SUM(F102:F103)+0.01</f>
        <v>8449.6111304999995</v>
      </c>
      <c r="G101" s="411"/>
      <c r="H101" s="432"/>
      <c r="I101" s="433"/>
      <c r="J101" s="434"/>
      <c r="K101" s="390">
        <f>SUM(K102:K103)</f>
        <v>2498.11</v>
      </c>
      <c r="L101" s="429"/>
      <c r="M101" s="429">
        <f>SUM(M102:M103)</f>
        <v>2498.11</v>
      </c>
      <c r="N101" s="435"/>
    </row>
    <row r="102" spans="1:16" ht="25.5">
      <c r="A102" s="247" t="s">
        <v>76</v>
      </c>
      <c r="B102" s="246" t="s">
        <v>905</v>
      </c>
      <c r="C102" s="247" t="s">
        <v>8</v>
      </c>
      <c r="D102" s="248">
        <v>401.27</v>
      </c>
      <c r="E102" s="248">
        <v>8.6861499999999996</v>
      </c>
      <c r="F102" s="252">
        <f>E102*D102</f>
        <v>3485.4914104999998</v>
      </c>
      <c r="G102" s="288">
        <v>288.92</v>
      </c>
      <c r="H102" s="358"/>
      <c r="I102" s="377">
        <f>G102+H102</f>
        <v>288.92</v>
      </c>
      <c r="J102" s="252"/>
      <c r="K102" s="249">
        <v>2498.11</v>
      </c>
      <c r="L102" s="366"/>
      <c r="M102" s="249">
        <f>H102+K102</f>
        <v>2498.11</v>
      </c>
      <c r="N102" s="302"/>
      <c r="O102" s="445"/>
      <c r="P102" s="303"/>
    </row>
    <row r="103" spans="1:16" ht="25.5">
      <c r="A103" s="247" t="s">
        <v>79</v>
      </c>
      <c r="B103" s="246" t="s">
        <v>664</v>
      </c>
      <c r="C103" s="247" t="s">
        <v>8</v>
      </c>
      <c r="D103" s="248">
        <v>61.8</v>
      </c>
      <c r="E103" s="248">
        <v>80.325400000000002</v>
      </c>
      <c r="F103" s="252">
        <f>E103*D103</f>
        <v>4964.1097199999995</v>
      </c>
      <c r="G103" s="288"/>
      <c r="H103" s="353"/>
      <c r="I103" s="260"/>
      <c r="J103" s="252"/>
      <c r="K103" s="249"/>
      <c r="L103" s="249"/>
      <c r="M103" s="249"/>
      <c r="N103" s="302"/>
    </row>
    <row r="104" spans="1:16">
      <c r="A104" s="520"/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21"/>
      <c r="M104" s="522"/>
      <c r="N104" s="302"/>
    </row>
    <row r="105" spans="1:16" s="420" customFormat="1" ht="18" customHeight="1">
      <c r="A105" s="384" t="s">
        <v>550</v>
      </c>
      <c r="B105" s="563" t="s">
        <v>75</v>
      </c>
      <c r="C105" s="564"/>
      <c r="D105" s="564"/>
      <c r="E105" s="565"/>
      <c r="F105" s="385">
        <f>SUM(F106,F115)</f>
        <v>64275.949280000001</v>
      </c>
      <c r="G105" s="386"/>
      <c r="H105" s="387"/>
      <c r="I105" s="388"/>
      <c r="J105" s="417"/>
      <c r="K105" s="431"/>
      <c r="L105" s="431"/>
      <c r="M105" s="431"/>
      <c r="N105" s="419"/>
    </row>
    <row r="106" spans="1:16">
      <c r="A106" s="253" t="s">
        <v>86</v>
      </c>
      <c r="B106" s="254" t="s">
        <v>665</v>
      </c>
      <c r="C106" s="253"/>
      <c r="D106" s="255"/>
      <c r="E106" s="345"/>
      <c r="F106" s="351">
        <f>SUM(F107:F114)-0.01</f>
        <v>37579.457119999999</v>
      </c>
      <c r="G106" s="288"/>
      <c r="H106" s="292"/>
      <c r="I106" s="260"/>
      <c r="J106" s="276"/>
      <c r="K106" s="249"/>
      <c r="L106" s="249"/>
      <c r="M106" s="249"/>
      <c r="N106" s="302"/>
    </row>
    <row r="107" spans="1:16" ht="25.5">
      <c r="A107" s="247" t="s">
        <v>666</v>
      </c>
      <c r="B107" s="250" t="s">
        <v>667</v>
      </c>
      <c r="C107" s="247" t="s">
        <v>8</v>
      </c>
      <c r="D107" s="248">
        <v>8.19</v>
      </c>
      <c r="E107" s="248">
        <v>598.07600000000002</v>
      </c>
      <c r="F107" s="252">
        <f t="shared" ref="F107:F117" si="11">E107*D107</f>
        <v>4898.24244</v>
      </c>
      <c r="G107" s="288"/>
      <c r="H107" s="353"/>
      <c r="I107" s="260"/>
      <c r="J107" s="252"/>
      <c r="K107" s="249"/>
      <c r="L107" s="249"/>
      <c r="M107" s="249"/>
      <c r="N107" s="302"/>
    </row>
    <row r="108" spans="1:16" ht="25.5">
      <c r="A108" s="247" t="s">
        <v>668</v>
      </c>
      <c r="B108" s="250" t="s">
        <v>669</v>
      </c>
      <c r="C108" s="247" t="s">
        <v>8</v>
      </c>
      <c r="D108" s="248">
        <v>11.34</v>
      </c>
      <c r="E108" s="248">
        <v>504.09800000000001</v>
      </c>
      <c r="F108" s="252">
        <f t="shared" si="11"/>
        <v>5716.4713199999997</v>
      </c>
      <c r="G108" s="288"/>
      <c r="H108" s="353"/>
      <c r="I108" s="260"/>
      <c r="J108" s="252"/>
      <c r="K108" s="249"/>
      <c r="L108" s="249"/>
      <c r="M108" s="249"/>
      <c r="N108" s="302"/>
    </row>
    <row r="109" spans="1:16" ht="25.5">
      <c r="A109" s="247" t="s">
        <v>670</v>
      </c>
      <c r="B109" s="250" t="s">
        <v>671</v>
      </c>
      <c r="C109" s="247" t="s">
        <v>8</v>
      </c>
      <c r="D109" s="248">
        <v>6.12</v>
      </c>
      <c r="E109" s="248">
        <v>426.428</v>
      </c>
      <c r="F109" s="252">
        <f t="shared" si="11"/>
        <v>2609.73936</v>
      </c>
      <c r="G109" s="288"/>
      <c r="H109" s="353"/>
      <c r="I109" s="260"/>
      <c r="J109" s="252"/>
      <c r="K109" s="249"/>
      <c r="L109" s="249"/>
      <c r="M109" s="249"/>
      <c r="N109" s="302"/>
    </row>
    <row r="110" spans="1:16" ht="51">
      <c r="A110" s="247" t="s">
        <v>672</v>
      </c>
      <c r="B110" s="250" t="s">
        <v>673</v>
      </c>
      <c r="C110" s="247" t="s">
        <v>78</v>
      </c>
      <c r="D110" s="248">
        <v>4</v>
      </c>
      <c r="E110" s="248">
        <v>762.85599999999999</v>
      </c>
      <c r="F110" s="252">
        <f t="shared" si="11"/>
        <v>3051.424</v>
      </c>
      <c r="G110" s="288"/>
      <c r="H110" s="353"/>
      <c r="I110" s="260"/>
      <c r="J110" s="252"/>
      <c r="K110" s="249"/>
      <c r="L110" s="249"/>
      <c r="M110" s="249"/>
      <c r="N110" s="302"/>
    </row>
    <row r="111" spans="1:16" ht="51">
      <c r="A111" s="247" t="s">
        <v>674</v>
      </c>
      <c r="B111" s="250" t="s">
        <v>675</v>
      </c>
      <c r="C111" s="247" t="s">
        <v>78</v>
      </c>
      <c r="D111" s="248">
        <v>4</v>
      </c>
      <c r="E111" s="248">
        <v>799.38400000000001</v>
      </c>
      <c r="F111" s="252">
        <f t="shared" si="11"/>
        <v>3197.5360000000001</v>
      </c>
      <c r="G111" s="288"/>
      <c r="H111" s="353"/>
      <c r="I111" s="260"/>
      <c r="J111" s="252"/>
      <c r="K111" s="249"/>
      <c r="L111" s="249"/>
      <c r="M111" s="249"/>
      <c r="N111" s="302"/>
    </row>
    <row r="112" spans="1:16" ht="51">
      <c r="A112" s="247" t="s">
        <v>676</v>
      </c>
      <c r="B112" s="250" t="s">
        <v>677</v>
      </c>
      <c r="C112" s="247" t="s">
        <v>78</v>
      </c>
      <c r="D112" s="248">
        <v>17</v>
      </c>
      <c r="E112" s="248">
        <v>849.64200000000005</v>
      </c>
      <c r="F112" s="252">
        <f t="shared" si="11"/>
        <v>14443.914000000001</v>
      </c>
      <c r="G112" s="288"/>
      <c r="H112" s="353"/>
      <c r="I112" s="260"/>
      <c r="J112" s="252"/>
      <c r="K112" s="249"/>
      <c r="L112" s="249"/>
      <c r="M112" s="249"/>
      <c r="N112" s="302"/>
    </row>
    <row r="113" spans="1:14" ht="25.5">
      <c r="A113" s="247" t="s">
        <v>678</v>
      </c>
      <c r="B113" s="250" t="s">
        <v>679</v>
      </c>
      <c r="C113" s="247" t="s">
        <v>78</v>
      </c>
      <c r="D113" s="248">
        <v>2</v>
      </c>
      <c r="E113" s="248">
        <v>914.41</v>
      </c>
      <c r="F113" s="252">
        <f t="shared" si="11"/>
        <v>1828.82</v>
      </c>
      <c r="G113" s="288"/>
      <c r="H113" s="353"/>
      <c r="I113" s="260"/>
      <c r="J113" s="252"/>
      <c r="K113" s="249"/>
      <c r="L113" s="249"/>
      <c r="M113" s="249"/>
      <c r="N113" s="302"/>
    </row>
    <row r="114" spans="1:14" ht="25.5">
      <c r="A114" s="247" t="s">
        <v>680</v>
      </c>
      <c r="B114" s="250" t="s">
        <v>681</v>
      </c>
      <c r="C114" s="247" t="s">
        <v>78</v>
      </c>
      <c r="D114" s="248">
        <v>2</v>
      </c>
      <c r="E114" s="248">
        <v>916.66</v>
      </c>
      <c r="F114" s="252">
        <f t="shared" si="11"/>
        <v>1833.32</v>
      </c>
      <c r="G114" s="288"/>
      <c r="H114" s="353"/>
      <c r="I114" s="260"/>
      <c r="J114" s="252"/>
      <c r="K114" s="249"/>
      <c r="L114" s="249"/>
      <c r="M114" s="249"/>
      <c r="N114" s="302"/>
    </row>
    <row r="115" spans="1:14">
      <c r="A115" s="253" t="s">
        <v>88</v>
      </c>
      <c r="B115" s="254" t="s">
        <v>682</v>
      </c>
      <c r="C115" s="253"/>
      <c r="D115" s="255"/>
      <c r="E115" s="345"/>
      <c r="F115" s="350">
        <f>SUM(F116:F117)</f>
        <v>26696.492159999998</v>
      </c>
      <c r="G115" s="288"/>
      <c r="H115" s="353"/>
      <c r="I115" s="260"/>
      <c r="J115" s="252"/>
      <c r="K115" s="249"/>
      <c r="L115" s="249"/>
      <c r="M115" s="249"/>
      <c r="N115" s="302"/>
    </row>
    <row r="116" spans="1:14" ht="25.5">
      <c r="A116" s="247" t="s">
        <v>683</v>
      </c>
      <c r="B116" s="250" t="s">
        <v>684</v>
      </c>
      <c r="C116" s="258" t="s">
        <v>8</v>
      </c>
      <c r="D116" s="248">
        <v>52.8</v>
      </c>
      <c r="E116" s="248">
        <v>493.7672</v>
      </c>
      <c r="F116" s="252">
        <f t="shared" si="11"/>
        <v>26070.908159999999</v>
      </c>
      <c r="G116" s="288"/>
      <c r="H116" s="353"/>
      <c r="I116" s="260"/>
      <c r="J116" s="252"/>
      <c r="K116" s="249"/>
      <c r="L116" s="249"/>
      <c r="M116" s="249"/>
      <c r="N116" s="302"/>
    </row>
    <row r="117" spans="1:14" ht="25.5">
      <c r="A117" s="247" t="s">
        <v>685</v>
      </c>
      <c r="B117" s="250" t="s">
        <v>686</v>
      </c>
      <c r="C117" s="258" t="s">
        <v>8</v>
      </c>
      <c r="D117" s="248">
        <v>0.8</v>
      </c>
      <c r="E117" s="248">
        <v>781.98</v>
      </c>
      <c r="F117" s="252">
        <f t="shared" si="11"/>
        <v>625.58400000000006</v>
      </c>
      <c r="G117" s="288"/>
      <c r="H117" s="353"/>
      <c r="I117" s="260"/>
      <c r="J117" s="252"/>
      <c r="K117" s="249"/>
      <c r="L117" s="249"/>
      <c r="M117" s="249"/>
      <c r="N117" s="302"/>
    </row>
    <row r="118" spans="1:14">
      <c r="A118" s="520"/>
      <c r="B118" s="521"/>
      <c r="C118" s="521"/>
      <c r="D118" s="521"/>
      <c r="E118" s="521"/>
      <c r="F118" s="521"/>
      <c r="G118" s="521"/>
      <c r="H118" s="521"/>
      <c r="I118" s="521"/>
      <c r="J118" s="521"/>
      <c r="K118" s="521"/>
      <c r="L118" s="521"/>
      <c r="M118" s="522"/>
      <c r="N118" s="302"/>
    </row>
    <row r="119" spans="1:14" s="420" customFormat="1" ht="18">
      <c r="A119" s="384" t="s">
        <v>551</v>
      </c>
      <c r="B119" s="563" t="s">
        <v>125</v>
      </c>
      <c r="C119" s="564"/>
      <c r="D119" s="564"/>
      <c r="E119" s="565"/>
      <c r="F119" s="385">
        <f>SUM(F120:F155)-0.03</f>
        <v>10352.645133</v>
      </c>
      <c r="G119" s="386"/>
      <c r="H119" s="387"/>
      <c r="I119" s="388"/>
      <c r="J119" s="417"/>
      <c r="K119" s="431"/>
      <c r="L119" s="431">
        <f>SUM(L120:L156)</f>
        <v>0</v>
      </c>
      <c r="M119" s="431"/>
      <c r="N119" s="419"/>
    </row>
    <row r="120" spans="1:14">
      <c r="A120" s="247" t="s">
        <v>97</v>
      </c>
      <c r="B120" s="250" t="s">
        <v>687</v>
      </c>
      <c r="C120" s="258" t="s">
        <v>78</v>
      </c>
      <c r="D120" s="248">
        <v>1</v>
      </c>
      <c r="E120" s="248">
        <v>2978.07</v>
      </c>
      <c r="F120" s="252">
        <f t="shared" ref="F120:F155" si="12">E120*D120</f>
        <v>2978.07</v>
      </c>
      <c r="G120" s="288"/>
      <c r="H120" s="353"/>
      <c r="I120" s="260"/>
      <c r="J120" s="252"/>
      <c r="K120" s="249"/>
      <c r="L120" s="249"/>
      <c r="M120" s="249"/>
      <c r="N120" s="302"/>
    </row>
    <row r="121" spans="1:14" ht="51">
      <c r="A121" s="247" t="s">
        <v>99</v>
      </c>
      <c r="B121" s="250" t="s">
        <v>688</v>
      </c>
      <c r="C121" s="258" t="s">
        <v>78</v>
      </c>
      <c r="D121" s="248">
        <v>2</v>
      </c>
      <c r="E121" s="248">
        <v>42.216000000000001</v>
      </c>
      <c r="F121" s="252">
        <f t="shared" si="12"/>
        <v>84.432000000000002</v>
      </c>
      <c r="G121" s="288"/>
      <c r="H121" s="353"/>
      <c r="I121" s="260"/>
      <c r="J121" s="252"/>
      <c r="K121" s="249"/>
      <c r="L121" s="249"/>
      <c r="M121" s="249"/>
      <c r="N121" s="302"/>
    </row>
    <row r="122" spans="1:14" ht="51">
      <c r="A122" s="247" t="s">
        <v>101</v>
      </c>
      <c r="B122" s="250" t="s">
        <v>689</v>
      </c>
      <c r="C122" s="258" t="s">
        <v>78</v>
      </c>
      <c r="D122" s="248">
        <v>1</v>
      </c>
      <c r="E122" s="248">
        <v>20.14</v>
      </c>
      <c r="F122" s="252">
        <f t="shared" si="12"/>
        <v>20.14</v>
      </c>
      <c r="G122" s="288"/>
      <c r="H122" s="353"/>
      <c r="I122" s="260"/>
      <c r="J122" s="252"/>
      <c r="K122" s="249"/>
      <c r="L122" s="249"/>
      <c r="M122" s="249"/>
      <c r="N122" s="302"/>
    </row>
    <row r="123" spans="1:14" ht="51">
      <c r="A123" s="247" t="s">
        <v>103</v>
      </c>
      <c r="B123" s="250" t="s">
        <v>690</v>
      </c>
      <c r="C123" s="258" t="s">
        <v>78</v>
      </c>
      <c r="D123" s="248">
        <v>3</v>
      </c>
      <c r="E123" s="248">
        <v>4.8499999999999996</v>
      </c>
      <c r="F123" s="252">
        <f t="shared" si="12"/>
        <v>14.549999999999999</v>
      </c>
      <c r="G123" s="288"/>
      <c r="H123" s="353"/>
      <c r="I123" s="260"/>
      <c r="J123" s="252"/>
      <c r="K123" s="249"/>
      <c r="L123" s="249"/>
      <c r="M123" s="249"/>
      <c r="N123" s="302"/>
    </row>
    <row r="124" spans="1:14">
      <c r="A124" s="247" t="s">
        <v>106</v>
      </c>
      <c r="B124" s="250" t="s">
        <v>691</v>
      </c>
      <c r="C124" s="258" t="s">
        <v>78</v>
      </c>
      <c r="D124" s="248">
        <v>1</v>
      </c>
      <c r="E124" s="248">
        <v>35.74</v>
      </c>
      <c r="F124" s="252">
        <f t="shared" si="12"/>
        <v>35.74</v>
      </c>
      <c r="G124" s="288"/>
      <c r="H124" s="353"/>
      <c r="I124" s="260"/>
      <c r="J124" s="252"/>
      <c r="K124" s="249"/>
      <c r="L124" s="249"/>
      <c r="M124" s="249"/>
      <c r="N124" s="302"/>
    </row>
    <row r="125" spans="1:14" ht="25.5">
      <c r="A125" s="247" t="s">
        <v>692</v>
      </c>
      <c r="B125" s="250" t="s">
        <v>693</v>
      </c>
      <c r="C125" s="258" t="s">
        <v>78</v>
      </c>
      <c r="D125" s="248">
        <v>28</v>
      </c>
      <c r="E125" s="248">
        <v>6.633</v>
      </c>
      <c r="F125" s="252">
        <f t="shared" si="12"/>
        <v>185.72399999999999</v>
      </c>
      <c r="G125" s="288"/>
      <c r="H125" s="353"/>
      <c r="I125" s="260"/>
      <c r="J125" s="252"/>
      <c r="K125" s="249"/>
      <c r="L125" s="249"/>
      <c r="M125" s="249"/>
      <c r="N125" s="302"/>
    </row>
    <row r="126" spans="1:14" ht="38.25">
      <c r="A126" s="247" t="s">
        <v>694</v>
      </c>
      <c r="B126" s="250" t="s">
        <v>695</v>
      </c>
      <c r="C126" s="258" t="s">
        <v>78</v>
      </c>
      <c r="D126" s="248">
        <v>26</v>
      </c>
      <c r="E126" s="248">
        <v>13.6205</v>
      </c>
      <c r="F126" s="252">
        <f t="shared" si="12"/>
        <v>354.13299999999998</v>
      </c>
      <c r="G126" s="288"/>
      <c r="H126" s="353"/>
      <c r="I126" s="260"/>
      <c r="J126" s="252"/>
      <c r="K126" s="249"/>
      <c r="L126" s="249"/>
      <c r="M126" s="249"/>
      <c r="N126" s="302"/>
    </row>
    <row r="127" spans="1:14" ht="38.25">
      <c r="A127" s="247" t="s">
        <v>696</v>
      </c>
      <c r="B127" s="250" t="s">
        <v>697</v>
      </c>
      <c r="C127" s="258" t="s">
        <v>78</v>
      </c>
      <c r="D127" s="248">
        <v>1</v>
      </c>
      <c r="E127" s="248">
        <v>15.09</v>
      </c>
      <c r="F127" s="252">
        <f t="shared" si="12"/>
        <v>15.09</v>
      </c>
      <c r="G127" s="288"/>
      <c r="H127" s="353"/>
      <c r="I127" s="260"/>
      <c r="J127" s="252"/>
      <c r="K127" s="249"/>
      <c r="L127" s="249"/>
      <c r="M127" s="249"/>
      <c r="N127" s="302"/>
    </row>
    <row r="128" spans="1:14" ht="25.5">
      <c r="A128" s="247" t="s">
        <v>698</v>
      </c>
      <c r="B128" s="250" t="s">
        <v>699</v>
      </c>
      <c r="C128" s="258" t="s">
        <v>78</v>
      </c>
      <c r="D128" s="248">
        <v>1</v>
      </c>
      <c r="E128" s="248">
        <v>9.7200000000000006</v>
      </c>
      <c r="F128" s="252">
        <f t="shared" si="12"/>
        <v>9.7200000000000006</v>
      </c>
      <c r="G128" s="288"/>
      <c r="H128" s="353"/>
      <c r="I128" s="260"/>
      <c r="J128" s="252"/>
      <c r="K128" s="249"/>
      <c r="L128" s="249"/>
      <c r="M128" s="249"/>
      <c r="N128" s="302"/>
    </row>
    <row r="129" spans="1:14" ht="25.5">
      <c r="A129" s="247" t="s">
        <v>700</v>
      </c>
      <c r="B129" s="250" t="s">
        <v>701</v>
      </c>
      <c r="C129" s="258" t="s">
        <v>78</v>
      </c>
      <c r="D129" s="248">
        <v>6</v>
      </c>
      <c r="E129" s="248">
        <v>1.1719999999999999</v>
      </c>
      <c r="F129" s="252">
        <f t="shared" si="12"/>
        <v>7.032</v>
      </c>
      <c r="G129" s="288"/>
      <c r="H129" s="353"/>
      <c r="I129" s="260"/>
      <c r="J129" s="252"/>
      <c r="K129" s="249"/>
      <c r="L129" s="249"/>
      <c r="M129" s="249"/>
      <c r="N129" s="302"/>
    </row>
    <row r="130" spans="1:14" ht="38.25">
      <c r="A130" s="247" t="s">
        <v>702</v>
      </c>
      <c r="B130" s="250" t="s">
        <v>703</v>
      </c>
      <c r="C130" s="258" t="s">
        <v>78</v>
      </c>
      <c r="D130" s="248">
        <v>15</v>
      </c>
      <c r="E130" s="248">
        <v>15.147500000000001</v>
      </c>
      <c r="F130" s="252">
        <f t="shared" si="12"/>
        <v>227.21250000000001</v>
      </c>
      <c r="G130" s="288"/>
      <c r="H130" s="353"/>
      <c r="I130" s="260"/>
      <c r="J130" s="252"/>
      <c r="K130" s="249"/>
      <c r="L130" s="249"/>
      <c r="M130" s="249"/>
      <c r="N130" s="302"/>
    </row>
    <row r="131" spans="1:14" ht="38.25">
      <c r="A131" s="247" t="s">
        <v>704</v>
      </c>
      <c r="B131" s="250" t="s">
        <v>705</v>
      </c>
      <c r="C131" s="258" t="s">
        <v>78</v>
      </c>
      <c r="D131" s="248">
        <v>1</v>
      </c>
      <c r="E131" s="248">
        <v>27.18</v>
      </c>
      <c r="F131" s="252">
        <f t="shared" si="12"/>
        <v>27.18</v>
      </c>
      <c r="G131" s="288"/>
      <c r="H131" s="353"/>
      <c r="I131" s="260"/>
      <c r="J131" s="252"/>
      <c r="K131" s="249"/>
      <c r="L131" s="249"/>
      <c r="M131" s="249"/>
      <c r="N131" s="302"/>
    </row>
    <row r="132" spans="1:14" ht="25.5">
      <c r="A132" s="247" t="s">
        <v>706</v>
      </c>
      <c r="B132" s="250" t="s">
        <v>707</v>
      </c>
      <c r="C132" s="258" t="s">
        <v>78</v>
      </c>
      <c r="D132" s="248">
        <v>6</v>
      </c>
      <c r="E132" s="248">
        <v>8.4939999999999998</v>
      </c>
      <c r="F132" s="252">
        <f t="shared" si="12"/>
        <v>50.963999999999999</v>
      </c>
      <c r="G132" s="288"/>
      <c r="H132" s="353"/>
      <c r="I132" s="260"/>
      <c r="J132" s="252"/>
      <c r="K132" s="249"/>
      <c r="L132" s="249"/>
      <c r="M132" s="249"/>
      <c r="N132" s="302"/>
    </row>
    <row r="133" spans="1:14" ht="25.5">
      <c r="A133" s="247" t="s">
        <v>708</v>
      </c>
      <c r="B133" s="250" t="s">
        <v>699</v>
      </c>
      <c r="C133" s="258" t="s">
        <v>78</v>
      </c>
      <c r="D133" s="248">
        <v>2</v>
      </c>
      <c r="E133" s="248">
        <v>9.7200000000000006</v>
      </c>
      <c r="F133" s="252">
        <f t="shared" si="12"/>
        <v>19.440000000000001</v>
      </c>
      <c r="G133" s="288"/>
      <c r="H133" s="353"/>
      <c r="I133" s="260"/>
      <c r="J133" s="252"/>
      <c r="K133" s="249"/>
      <c r="L133" s="249"/>
      <c r="M133" s="249"/>
      <c r="N133" s="302"/>
    </row>
    <row r="134" spans="1:14" ht="25.5">
      <c r="A134" s="247" t="s">
        <v>709</v>
      </c>
      <c r="B134" s="250" t="s">
        <v>710</v>
      </c>
      <c r="C134" s="258" t="s">
        <v>78</v>
      </c>
      <c r="D134" s="248">
        <v>2</v>
      </c>
      <c r="E134" s="248">
        <v>4.18</v>
      </c>
      <c r="F134" s="252">
        <f t="shared" si="12"/>
        <v>8.36</v>
      </c>
      <c r="G134" s="288"/>
      <c r="H134" s="353"/>
      <c r="I134" s="260"/>
      <c r="J134" s="252"/>
      <c r="K134" s="249"/>
      <c r="L134" s="249"/>
      <c r="M134" s="249"/>
      <c r="N134" s="302"/>
    </row>
    <row r="135" spans="1:14" ht="25.5">
      <c r="A135" s="247" t="s">
        <v>711</v>
      </c>
      <c r="B135" s="250" t="s">
        <v>712</v>
      </c>
      <c r="C135" s="258" t="s">
        <v>78</v>
      </c>
      <c r="D135" s="248">
        <v>2</v>
      </c>
      <c r="E135" s="248">
        <v>5.4059999999999997</v>
      </c>
      <c r="F135" s="252">
        <f t="shared" si="12"/>
        <v>10.811999999999999</v>
      </c>
      <c r="G135" s="288"/>
      <c r="H135" s="353"/>
      <c r="I135" s="260"/>
      <c r="J135" s="252"/>
      <c r="K135" s="249"/>
      <c r="L135" s="249"/>
      <c r="M135" s="249"/>
      <c r="N135" s="302"/>
    </row>
    <row r="136" spans="1:14" ht="25.5">
      <c r="A136" s="247" t="s">
        <v>713</v>
      </c>
      <c r="B136" s="250" t="s">
        <v>714</v>
      </c>
      <c r="C136" s="258" t="s">
        <v>78</v>
      </c>
      <c r="D136" s="248">
        <v>1</v>
      </c>
      <c r="E136" s="248">
        <v>2.54</v>
      </c>
      <c r="F136" s="252">
        <f t="shared" si="12"/>
        <v>2.54</v>
      </c>
      <c r="G136" s="288"/>
      <c r="H136" s="353"/>
      <c r="I136" s="260"/>
      <c r="J136" s="252"/>
      <c r="K136" s="249"/>
      <c r="L136" s="249"/>
      <c r="M136" s="249"/>
      <c r="N136" s="302"/>
    </row>
    <row r="137" spans="1:14" ht="25.5">
      <c r="A137" s="247" t="s">
        <v>715</v>
      </c>
      <c r="B137" s="250" t="s">
        <v>716</v>
      </c>
      <c r="C137" s="258" t="s">
        <v>78</v>
      </c>
      <c r="D137" s="248">
        <v>6</v>
      </c>
      <c r="E137" s="248">
        <v>12.782</v>
      </c>
      <c r="F137" s="252">
        <f t="shared" si="12"/>
        <v>76.692000000000007</v>
      </c>
      <c r="G137" s="288"/>
      <c r="H137" s="353"/>
      <c r="I137" s="260"/>
      <c r="J137" s="252"/>
      <c r="K137" s="249"/>
      <c r="L137" s="249"/>
      <c r="M137" s="249"/>
      <c r="N137" s="302"/>
    </row>
    <row r="138" spans="1:14" ht="25.5">
      <c r="A138" s="247" t="s">
        <v>717</v>
      </c>
      <c r="B138" s="250" t="s">
        <v>718</v>
      </c>
      <c r="C138" s="258" t="s">
        <v>78</v>
      </c>
      <c r="D138" s="248">
        <v>5</v>
      </c>
      <c r="E138" s="248">
        <v>10.922000000000001</v>
      </c>
      <c r="F138" s="252">
        <f t="shared" si="12"/>
        <v>54.61</v>
      </c>
      <c r="G138" s="288"/>
      <c r="H138" s="353"/>
      <c r="I138" s="260"/>
      <c r="J138" s="252"/>
      <c r="K138" s="249"/>
      <c r="L138" s="249"/>
      <c r="M138" s="249"/>
      <c r="N138" s="302"/>
    </row>
    <row r="139" spans="1:14" ht="25.5">
      <c r="A139" s="247" t="s">
        <v>719</v>
      </c>
      <c r="B139" s="250" t="s">
        <v>720</v>
      </c>
      <c r="C139" s="258" t="s">
        <v>78</v>
      </c>
      <c r="D139" s="248">
        <v>5</v>
      </c>
      <c r="E139" s="248">
        <v>12.287000000000001</v>
      </c>
      <c r="F139" s="252">
        <f t="shared" si="12"/>
        <v>61.435000000000002</v>
      </c>
      <c r="G139" s="288"/>
      <c r="H139" s="353"/>
      <c r="I139" s="260"/>
      <c r="J139" s="252"/>
      <c r="K139" s="249"/>
      <c r="L139" s="249"/>
      <c r="M139" s="249"/>
      <c r="N139" s="302"/>
    </row>
    <row r="140" spans="1:14" ht="25.5">
      <c r="A140" s="247" t="s">
        <v>721</v>
      </c>
      <c r="B140" s="250" t="s">
        <v>722</v>
      </c>
      <c r="C140" s="258" t="s">
        <v>78</v>
      </c>
      <c r="D140" s="248">
        <v>8</v>
      </c>
      <c r="E140" s="248">
        <v>9.3529999999999998</v>
      </c>
      <c r="F140" s="252">
        <f t="shared" si="12"/>
        <v>74.823999999999998</v>
      </c>
      <c r="G140" s="288"/>
      <c r="H140" s="353"/>
      <c r="I140" s="260"/>
      <c r="J140" s="252"/>
      <c r="K140" s="249"/>
      <c r="L140" s="249"/>
      <c r="M140" s="249"/>
      <c r="N140" s="302"/>
    </row>
    <row r="141" spans="1:14" ht="25.5">
      <c r="A141" s="247" t="s">
        <v>723</v>
      </c>
      <c r="B141" s="250" t="s">
        <v>724</v>
      </c>
      <c r="C141" s="258" t="s">
        <v>78</v>
      </c>
      <c r="D141" s="248">
        <v>3</v>
      </c>
      <c r="E141" s="248">
        <v>14.75</v>
      </c>
      <c r="F141" s="252">
        <f t="shared" si="12"/>
        <v>44.25</v>
      </c>
      <c r="G141" s="288"/>
      <c r="H141" s="353"/>
      <c r="I141" s="260"/>
      <c r="J141" s="252"/>
      <c r="K141" s="249"/>
      <c r="L141" s="249"/>
      <c r="M141" s="249"/>
      <c r="N141" s="302"/>
    </row>
    <row r="142" spans="1:14" ht="38.25">
      <c r="A142" s="247" t="s">
        <v>725</v>
      </c>
      <c r="B142" s="250" t="s">
        <v>726</v>
      </c>
      <c r="C142" s="258" t="s">
        <v>78</v>
      </c>
      <c r="D142" s="248">
        <v>3</v>
      </c>
      <c r="E142" s="248">
        <v>23.532</v>
      </c>
      <c r="F142" s="252">
        <f t="shared" si="12"/>
        <v>70.596000000000004</v>
      </c>
      <c r="G142" s="288"/>
      <c r="H142" s="353"/>
      <c r="I142" s="260"/>
      <c r="J142" s="252"/>
      <c r="K142" s="249"/>
      <c r="L142" s="249"/>
      <c r="M142" s="249"/>
      <c r="N142" s="302"/>
    </row>
    <row r="143" spans="1:14" ht="25.5">
      <c r="A143" s="247" t="s">
        <v>727</v>
      </c>
      <c r="B143" s="250" t="s">
        <v>728</v>
      </c>
      <c r="C143" s="258" t="s">
        <v>78</v>
      </c>
      <c r="D143" s="248">
        <v>3</v>
      </c>
      <c r="E143" s="248">
        <v>17.350000000000001</v>
      </c>
      <c r="F143" s="252">
        <f t="shared" si="12"/>
        <v>52.050000000000004</v>
      </c>
      <c r="G143" s="288"/>
      <c r="H143" s="353"/>
      <c r="I143" s="260"/>
      <c r="J143" s="252"/>
      <c r="K143" s="249"/>
      <c r="L143" s="249"/>
      <c r="M143" s="249"/>
      <c r="N143" s="302"/>
    </row>
    <row r="144" spans="1:14" ht="25.5">
      <c r="A144" s="247" t="s">
        <v>729</v>
      </c>
      <c r="B144" s="250" t="s">
        <v>730</v>
      </c>
      <c r="C144" s="258" t="s">
        <v>78</v>
      </c>
      <c r="D144" s="248">
        <v>5</v>
      </c>
      <c r="E144" s="248">
        <v>19.242000000000001</v>
      </c>
      <c r="F144" s="252">
        <f t="shared" si="12"/>
        <v>96.210000000000008</v>
      </c>
      <c r="G144" s="288"/>
      <c r="H144" s="353"/>
      <c r="I144" s="260"/>
      <c r="J144" s="252"/>
      <c r="K144" s="249"/>
      <c r="L144" s="249"/>
      <c r="M144" s="249"/>
      <c r="N144" s="302"/>
    </row>
    <row r="145" spans="1:14" ht="25.5">
      <c r="A145" s="247" t="s">
        <v>731</v>
      </c>
      <c r="B145" s="250" t="s">
        <v>732</v>
      </c>
      <c r="C145" s="258" t="s">
        <v>105</v>
      </c>
      <c r="D145" s="248">
        <v>68.069999999999993</v>
      </c>
      <c r="E145" s="248">
        <v>17.286300000000001</v>
      </c>
      <c r="F145" s="252">
        <f t="shared" si="12"/>
        <v>1176.678441</v>
      </c>
      <c r="G145" s="288"/>
      <c r="H145" s="353"/>
      <c r="I145" s="260"/>
      <c r="J145" s="252"/>
      <c r="K145" s="249"/>
      <c r="L145" s="249"/>
      <c r="M145" s="249"/>
      <c r="N145" s="302"/>
    </row>
    <row r="146" spans="1:14" ht="25.5">
      <c r="A146" s="247" t="s">
        <v>733</v>
      </c>
      <c r="B146" s="250" t="s">
        <v>734</v>
      </c>
      <c r="C146" s="258" t="s">
        <v>78</v>
      </c>
      <c r="D146" s="248">
        <v>1</v>
      </c>
      <c r="E146" s="248">
        <v>30.84</v>
      </c>
      <c r="F146" s="252">
        <f t="shared" si="12"/>
        <v>30.84</v>
      </c>
      <c r="G146" s="288"/>
      <c r="H146" s="353"/>
      <c r="I146" s="260"/>
      <c r="J146" s="252"/>
      <c r="K146" s="249"/>
      <c r="L146" s="249"/>
      <c r="M146" s="249"/>
      <c r="N146" s="302"/>
    </row>
    <row r="147" spans="1:14" ht="25.5">
      <c r="A147" s="247" t="s">
        <v>735</v>
      </c>
      <c r="B147" s="250" t="s">
        <v>736</v>
      </c>
      <c r="C147" s="258" t="s">
        <v>105</v>
      </c>
      <c r="D147" s="248">
        <v>19.43</v>
      </c>
      <c r="E147" s="248">
        <v>25.994</v>
      </c>
      <c r="F147" s="252">
        <f t="shared" si="12"/>
        <v>505.06342000000001</v>
      </c>
      <c r="G147" s="288"/>
      <c r="H147" s="353"/>
      <c r="I147" s="260"/>
      <c r="J147" s="252"/>
      <c r="K147" s="249"/>
      <c r="L147" s="249"/>
      <c r="M147" s="249"/>
      <c r="N147" s="302"/>
    </row>
    <row r="148" spans="1:14" ht="25.5">
      <c r="A148" s="247" t="s">
        <v>737</v>
      </c>
      <c r="B148" s="250" t="s">
        <v>738</v>
      </c>
      <c r="C148" s="258" t="s">
        <v>78</v>
      </c>
      <c r="D148" s="248">
        <v>5</v>
      </c>
      <c r="E148" s="248">
        <v>32.54</v>
      </c>
      <c r="F148" s="252">
        <f t="shared" si="12"/>
        <v>162.69999999999999</v>
      </c>
      <c r="G148" s="288"/>
      <c r="H148" s="353"/>
      <c r="I148" s="260"/>
      <c r="J148" s="252"/>
      <c r="K148" s="249"/>
      <c r="L148" s="249"/>
      <c r="M148" s="249"/>
      <c r="N148" s="302"/>
    </row>
    <row r="149" spans="1:14" ht="25.5">
      <c r="A149" s="247" t="s">
        <v>739</v>
      </c>
      <c r="B149" s="250" t="s">
        <v>740</v>
      </c>
      <c r="C149" s="258" t="s">
        <v>105</v>
      </c>
      <c r="D149" s="248">
        <v>6.31</v>
      </c>
      <c r="E149" s="248">
        <v>17.48</v>
      </c>
      <c r="F149" s="252">
        <f t="shared" si="12"/>
        <v>110.2988</v>
      </c>
      <c r="G149" s="288"/>
      <c r="H149" s="353"/>
      <c r="I149" s="260"/>
      <c r="J149" s="252"/>
      <c r="K149" s="249"/>
      <c r="L149" s="249"/>
      <c r="M149" s="249"/>
      <c r="N149" s="302"/>
    </row>
    <row r="150" spans="1:14" ht="25.5">
      <c r="A150" s="247" t="s">
        <v>741</v>
      </c>
      <c r="B150" s="250" t="s">
        <v>742</v>
      </c>
      <c r="C150" s="258" t="s">
        <v>105</v>
      </c>
      <c r="D150" s="248">
        <v>53.96</v>
      </c>
      <c r="E150" s="248">
        <v>20.070699999999999</v>
      </c>
      <c r="F150" s="252">
        <f t="shared" si="12"/>
        <v>1083.0149719999999</v>
      </c>
      <c r="G150" s="288"/>
      <c r="H150" s="353"/>
      <c r="I150" s="260"/>
      <c r="J150" s="252"/>
      <c r="K150" s="249"/>
      <c r="L150" s="249"/>
      <c r="M150" s="249"/>
      <c r="N150" s="302"/>
    </row>
    <row r="151" spans="1:14" ht="25.5">
      <c r="A151" s="247" t="s">
        <v>743</v>
      </c>
      <c r="B151" s="250" t="s">
        <v>744</v>
      </c>
      <c r="C151" s="258" t="s">
        <v>78</v>
      </c>
      <c r="D151" s="248">
        <v>3</v>
      </c>
      <c r="E151" s="248">
        <v>93.7</v>
      </c>
      <c r="F151" s="252">
        <f t="shared" si="12"/>
        <v>281.10000000000002</v>
      </c>
      <c r="G151" s="288"/>
      <c r="H151" s="353"/>
      <c r="I151" s="260"/>
      <c r="J151" s="252"/>
      <c r="K151" s="249"/>
      <c r="L151" s="249"/>
      <c r="M151" s="249"/>
      <c r="N151" s="302"/>
    </row>
    <row r="152" spans="1:14" ht="25.5">
      <c r="A152" s="247" t="s">
        <v>745</v>
      </c>
      <c r="B152" s="250" t="s">
        <v>746</v>
      </c>
      <c r="C152" s="258" t="s">
        <v>78</v>
      </c>
      <c r="D152" s="248">
        <v>3</v>
      </c>
      <c r="E152" s="248">
        <v>33.380000000000003</v>
      </c>
      <c r="F152" s="252">
        <f t="shared" si="12"/>
        <v>100.14000000000001</v>
      </c>
      <c r="G152" s="288"/>
      <c r="H152" s="353"/>
      <c r="I152" s="260"/>
      <c r="J152" s="252"/>
      <c r="K152" s="249"/>
      <c r="L152" s="249"/>
      <c r="M152" s="249"/>
      <c r="N152" s="302"/>
    </row>
    <row r="153" spans="1:14" ht="38.25">
      <c r="A153" s="247" t="s">
        <v>747</v>
      </c>
      <c r="B153" s="250" t="s">
        <v>748</v>
      </c>
      <c r="C153" s="258" t="s">
        <v>78</v>
      </c>
      <c r="D153" s="248">
        <v>13</v>
      </c>
      <c r="E153" s="248">
        <v>97.59</v>
      </c>
      <c r="F153" s="252">
        <f t="shared" si="12"/>
        <v>1268.67</v>
      </c>
      <c r="G153" s="288"/>
      <c r="H153" s="353"/>
      <c r="I153" s="260"/>
      <c r="J153" s="252"/>
      <c r="K153" s="249"/>
      <c r="L153" s="249"/>
      <c r="M153" s="249"/>
      <c r="N153" s="302"/>
    </row>
    <row r="154" spans="1:14" ht="51">
      <c r="A154" s="247" t="s">
        <v>749</v>
      </c>
      <c r="B154" s="250" t="s">
        <v>750</v>
      </c>
      <c r="C154" s="258" t="s">
        <v>78</v>
      </c>
      <c r="D154" s="248">
        <v>7</v>
      </c>
      <c r="E154" s="248">
        <v>119.113</v>
      </c>
      <c r="F154" s="252">
        <f t="shared" si="12"/>
        <v>833.79099999999994</v>
      </c>
      <c r="G154" s="288"/>
      <c r="H154" s="353"/>
      <c r="I154" s="260"/>
      <c r="J154" s="252"/>
      <c r="K154" s="249"/>
      <c r="L154" s="249"/>
      <c r="M154" s="249"/>
      <c r="N154" s="302"/>
    </row>
    <row r="155" spans="1:14" ht="51">
      <c r="A155" s="247" t="s">
        <v>751</v>
      </c>
      <c r="B155" s="250" t="s">
        <v>752</v>
      </c>
      <c r="C155" s="258" t="s">
        <v>78</v>
      </c>
      <c r="D155" s="248">
        <v>2</v>
      </c>
      <c r="E155" s="248">
        <v>109.286</v>
      </c>
      <c r="F155" s="252">
        <f t="shared" si="12"/>
        <v>218.572</v>
      </c>
      <c r="G155" s="288"/>
      <c r="H155" s="353"/>
      <c r="I155" s="260"/>
      <c r="J155" s="252"/>
      <c r="K155" s="249"/>
      <c r="L155" s="249"/>
      <c r="M155" s="249"/>
      <c r="N155" s="302"/>
    </row>
    <row r="156" spans="1:14">
      <c r="A156" s="520"/>
      <c r="B156" s="521"/>
      <c r="C156" s="521"/>
      <c r="D156" s="521"/>
      <c r="E156" s="521"/>
      <c r="F156" s="521"/>
      <c r="G156" s="521"/>
      <c r="H156" s="521"/>
      <c r="I156" s="521"/>
      <c r="J156" s="521"/>
      <c r="K156" s="521"/>
      <c r="L156" s="521"/>
      <c r="M156" s="522"/>
      <c r="N156" s="302"/>
    </row>
    <row r="157" spans="1:14" s="420" customFormat="1" ht="18" customHeight="1">
      <c r="A157" s="384" t="s">
        <v>753</v>
      </c>
      <c r="B157" s="563" t="s">
        <v>754</v>
      </c>
      <c r="C157" s="564"/>
      <c r="D157" s="564"/>
      <c r="E157" s="565"/>
      <c r="F157" s="385">
        <f>SUM(F158,F173,F179,F189)</f>
        <v>38223.718613999998</v>
      </c>
      <c r="G157" s="386"/>
      <c r="H157" s="387"/>
      <c r="I157" s="388"/>
      <c r="J157" s="417"/>
      <c r="K157" s="431"/>
      <c r="L157" s="431"/>
      <c r="M157" s="431"/>
      <c r="N157" s="419"/>
    </row>
    <row r="158" spans="1:14">
      <c r="A158" s="253" t="s">
        <v>109</v>
      </c>
      <c r="B158" s="254" t="s">
        <v>755</v>
      </c>
      <c r="C158" s="253"/>
      <c r="D158" s="255"/>
      <c r="E158" s="345"/>
      <c r="F158" s="351">
        <f>SUM(F159:F172)-0.01</f>
        <v>10189.055524000001</v>
      </c>
      <c r="G158" s="288"/>
      <c r="H158" s="292"/>
      <c r="I158" s="260"/>
      <c r="J158" s="276"/>
      <c r="K158" s="249"/>
      <c r="L158" s="249"/>
      <c r="M158" s="249"/>
      <c r="N158" s="302"/>
    </row>
    <row r="159" spans="1:14" ht="38.25">
      <c r="A159" s="247" t="s">
        <v>756</v>
      </c>
      <c r="B159" s="250" t="s">
        <v>757</v>
      </c>
      <c r="C159" s="247" t="s">
        <v>78</v>
      </c>
      <c r="D159" s="248">
        <v>36</v>
      </c>
      <c r="E159" s="248">
        <v>9.718</v>
      </c>
      <c r="F159" s="252">
        <f t="shared" ref="F159:F192" si="13">E159*D159</f>
        <v>349.84800000000001</v>
      </c>
      <c r="G159" s="288"/>
      <c r="H159" s="353"/>
      <c r="I159" s="260"/>
      <c r="J159" s="252"/>
      <c r="K159" s="249"/>
      <c r="L159" s="249"/>
      <c r="M159" s="249"/>
      <c r="N159" s="302"/>
    </row>
    <row r="160" spans="1:14" ht="25.5">
      <c r="A160" s="247" t="s">
        <v>758</v>
      </c>
      <c r="B160" s="250" t="s">
        <v>759</v>
      </c>
      <c r="C160" s="247" t="s">
        <v>78</v>
      </c>
      <c r="D160" s="248">
        <v>36</v>
      </c>
      <c r="E160" s="248">
        <v>12.2445</v>
      </c>
      <c r="F160" s="252">
        <f t="shared" si="13"/>
        <v>440.80200000000002</v>
      </c>
      <c r="G160" s="288"/>
      <c r="H160" s="353"/>
      <c r="I160" s="260"/>
      <c r="J160" s="252"/>
      <c r="K160" s="249"/>
      <c r="L160" s="249"/>
      <c r="M160" s="249"/>
      <c r="N160" s="302"/>
    </row>
    <row r="161" spans="1:14" ht="38.25">
      <c r="A161" s="247" t="s">
        <v>760</v>
      </c>
      <c r="B161" s="250" t="s">
        <v>761</v>
      </c>
      <c r="C161" s="247" t="s">
        <v>78</v>
      </c>
      <c r="D161" s="248">
        <v>13</v>
      </c>
      <c r="E161" s="248">
        <v>5.7729999999999997</v>
      </c>
      <c r="F161" s="252">
        <f t="shared" si="13"/>
        <v>75.048999999999992</v>
      </c>
      <c r="G161" s="288"/>
      <c r="H161" s="353"/>
      <c r="I161" s="260"/>
      <c r="J161" s="252"/>
      <c r="K161" s="249"/>
      <c r="L161" s="249"/>
      <c r="M161" s="249"/>
      <c r="N161" s="302"/>
    </row>
    <row r="162" spans="1:14" ht="38.25">
      <c r="A162" s="247" t="s">
        <v>762</v>
      </c>
      <c r="B162" s="250" t="s">
        <v>763</v>
      </c>
      <c r="C162" s="247" t="s">
        <v>78</v>
      </c>
      <c r="D162" s="248">
        <v>17</v>
      </c>
      <c r="E162" s="248">
        <v>10.0945</v>
      </c>
      <c r="F162" s="252">
        <f t="shared" si="13"/>
        <v>171.60650000000001</v>
      </c>
      <c r="G162" s="288"/>
      <c r="H162" s="353"/>
      <c r="I162" s="260"/>
      <c r="J162" s="252"/>
      <c r="K162" s="249"/>
      <c r="L162" s="249"/>
      <c r="M162" s="249"/>
      <c r="N162" s="302"/>
    </row>
    <row r="163" spans="1:14" ht="38.25">
      <c r="A163" s="247" t="s">
        <v>764</v>
      </c>
      <c r="B163" s="250" t="s">
        <v>765</v>
      </c>
      <c r="C163" s="247" t="s">
        <v>78</v>
      </c>
      <c r="D163" s="248">
        <v>3</v>
      </c>
      <c r="E163" s="248">
        <v>22.027999999999999</v>
      </c>
      <c r="F163" s="252">
        <f t="shared" si="13"/>
        <v>66.084000000000003</v>
      </c>
      <c r="G163" s="288"/>
      <c r="H163" s="353"/>
      <c r="I163" s="260"/>
      <c r="J163" s="252"/>
      <c r="K163" s="249"/>
      <c r="L163" s="249"/>
      <c r="M163" s="249"/>
      <c r="N163" s="302"/>
    </row>
    <row r="164" spans="1:14" ht="38.25">
      <c r="A164" s="247" t="s">
        <v>766</v>
      </c>
      <c r="B164" s="250" t="s">
        <v>767</v>
      </c>
      <c r="C164" s="247" t="s">
        <v>78</v>
      </c>
      <c r="D164" s="248">
        <v>7</v>
      </c>
      <c r="E164" s="248">
        <v>22.091999999999999</v>
      </c>
      <c r="F164" s="252">
        <f t="shared" si="13"/>
        <v>154.64400000000001</v>
      </c>
      <c r="G164" s="288"/>
      <c r="H164" s="353"/>
      <c r="I164" s="260"/>
      <c r="J164" s="252"/>
      <c r="K164" s="249"/>
      <c r="L164" s="249"/>
      <c r="M164" s="249"/>
      <c r="N164" s="302"/>
    </row>
    <row r="165" spans="1:14" ht="38.25">
      <c r="A165" s="247" t="s">
        <v>768</v>
      </c>
      <c r="B165" s="250" t="s">
        <v>769</v>
      </c>
      <c r="C165" s="247" t="s">
        <v>78</v>
      </c>
      <c r="D165" s="248">
        <v>2</v>
      </c>
      <c r="E165" s="248">
        <v>9.3529999999999998</v>
      </c>
      <c r="F165" s="252">
        <f t="shared" si="13"/>
        <v>18.706</v>
      </c>
      <c r="G165" s="288"/>
      <c r="H165" s="353"/>
      <c r="I165" s="260"/>
      <c r="J165" s="252"/>
      <c r="K165" s="249"/>
      <c r="L165" s="249"/>
      <c r="M165" s="249"/>
      <c r="N165" s="302"/>
    </row>
    <row r="166" spans="1:14" ht="25.5">
      <c r="A166" s="247" t="s">
        <v>770</v>
      </c>
      <c r="B166" s="250" t="s">
        <v>771</v>
      </c>
      <c r="C166" s="247" t="s">
        <v>78</v>
      </c>
      <c r="D166" s="248">
        <v>12</v>
      </c>
      <c r="E166" s="248">
        <v>56.987000000000002</v>
      </c>
      <c r="F166" s="252">
        <f t="shared" si="13"/>
        <v>683.84400000000005</v>
      </c>
      <c r="G166" s="288"/>
      <c r="H166" s="353"/>
      <c r="I166" s="260"/>
      <c r="J166" s="252"/>
      <c r="K166" s="249"/>
      <c r="L166" s="249"/>
      <c r="M166" s="249"/>
      <c r="N166" s="302"/>
    </row>
    <row r="167" spans="1:14" ht="38.25">
      <c r="A167" s="247" t="s">
        <v>772</v>
      </c>
      <c r="B167" s="250" t="s">
        <v>773</v>
      </c>
      <c r="C167" s="247" t="s">
        <v>78</v>
      </c>
      <c r="D167" s="248">
        <v>5</v>
      </c>
      <c r="E167" s="248">
        <v>20.425999999999998</v>
      </c>
      <c r="F167" s="252">
        <f t="shared" si="13"/>
        <v>102.13</v>
      </c>
      <c r="G167" s="288"/>
      <c r="H167" s="353"/>
      <c r="I167" s="260"/>
      <c r="J167" s="252"/>
      <c r="K167" s="249"/>
      <c r="L167" s="249"/>
      <c r="M167" s="249"/>
      <c r="N167" s="302"/>
    </row>
    <row r="168" spans="1:14" ht="38.25">
      <c r="A168" s="247" t="s">
        <v>774</v>
      </c>
      <c r="B168" s="250" t="s">
        <v>775</v>
      </c>
      <c r="C168" s="247" t="s">
        <v>105</v>
      </c>
      <c r="D168" s="248">
        <v>55.81</v>
      </c>
      <c r="E168" s="248">
        <v>16.609000000000002</v>
      </c>
      <c r="F168" s="252">
        <f t="shared" si="13"/>
        <v>926.94829000000016</v>
      </c>
      <c r="G168" s="288"/>
      <c r="H168" s="353"/>
      <c r="I168" s="260"/>
      <c r="J168" s="252"/>
      <c r="K168" s="249"/>
      <c r="L168" s="249"/>
      <c r="M168" s="249"/>
      <c r="N168" s="302"/>
    </row>
    <row r="169" spans="1:14" ht="25.5">
      <c r="A169" s="247" t="s">
        <v>776</v>
      </c>
      <c r="B169" s="250" t="s">
        <v>777</v>
      </c>
      <c r="C169" s="247" t="s">
        <v>78</v>
      </c>
      <c r="D169" s="248">
        <v>10</v>
      </c>
      <c r="E169" s="248">
        <v>22.338999999999999</v>
      </c>
      <c r="F169" s="252">
        <f t="shared" si="13"/>
        <v>223.39</v>
      </c>
      <c r="G169" s="288"/>
      <c r="H169" s="353"/>
      <c r="I169" s="260"/>
      <c r="J169" s="252"/>
      <c r="K169" s="249"/>
      <c r="L169" s="249"/>
      <c r="M169" s="249"/>
      <c r="N169" s="302"/>
    </row>
    <row r="170" spans="1:14" ht="38.25">
      <c r="A170" s="247" t="s">
        <v>778</v>
      </c>
      <c r="B170" s="250" t="s">
        <v>779</v>
      </c>
      <c r="C170" s="247" t="s">
        <v>105</v>
      </c>
      <c r="D170" s="248">
        <v>56.63</v>
      </c>
      <c r="E170" s="248">
        <v>25.316800000000001</v>
      </c>
      <c r="F170" s="252">
        <f t="shared" si="13"/>
        <v>1433.690384</v>
      </c>
      <c r="G170" s="288"/>
      <c r="H170" s="353"/>
      <c r="I170" s="260"/>
      <c r="J170" s="252"/>
      <c r="K170" s="249"/>
      <c r="L170" s="249"/>
      <c r="M170" s="249"/>
      <c r="N170" s="302"/>
    </row>
    <row r="171" spans="1:14" ht="38.25">
      <c r="A171" s="247" t="s">
        <v>780</v>
      </c>
      <c r="B171" s="250" t="s">
        <v>781</v>
      </c>
      <c r="C171" s="247" t="s">
        <v>105</v>
      </c>
      <c r="D171" s="248">
        <v>1.7</v>
      </c>
      <c r="E171" s="248">
        <v>38.14</v>
      </c>
      <c r="F171" s="252">
        <f t="shared" si="13"/>
        <v>64.837999999999994</v>
      </c>
      <c r="G171" s="288"/>
      <c r="H171" s="353"/>
      <c r="I171" s="260"/>
      <c r="J171" s="252"/>
      <c r="K171" s="249"/>
      <c r="L171" s="249"/>
      <c r="M171" s="249"/>
      <c r="N171" s="302"/>
    </row>
    <row r="172" spans="1:14" ht="38.25">
      <c r="A172" s="247" t="s">
        <v>782</v>
      </c>
      <c r="B172" s="250" t="s">
        <v>783</v>
      </c>
      <c r="C172" s="247" t="s">
        <v>105</v>
      </c>
      <c r="D172" s="248">
        <v>114.5</v>
      </c>
      <c r="E172" s="248">
        <v>47.838299999999997</v>
      </c>
      <c r="F172" s="252">
        <f t="shared" si="13"/>
        <v>5477.4853499999999</v>
      </c>
      <c r="G172" s="288"/>
      <c r="H172" s="353"/>
      <c r="I172" s="260"/>
      <c r="J172" s="252"/>
      <c r="K172" s="249"/>
      <c r="L172" s="249"/>
      <c r="M172" s="249"/>
      <c r="N172" s="302"/>
    </row>
    <row r="173" spans="1:14">
      <c r="A173" s="253" t="s">
        <v>111</v>
      </c>
      <c r="B173" s="254" t="s">
        <v>784</v>
      </c>
      <c r="C173" s="253"/>
      <c r="D173" s="255"/>
      <c r="E173" s="345"/>
      <c r="F173" s="350">
        <f>SUM(F174:F178)</f>
        <v>4291.3077999999996</v>
      </c>
      <c r="G173" s="288"/>
      <c r="H173" s="353"/>
      <c r="I173" s="260"/>
      <c r="J173" s="252"/>
      <c r="K173" s="249"/>
      <c r="L173" s="249"/>
      <c r="M173" s="249"/>
      <c r="N173" s="302"/>
    </row>
    <row r="174" spans="1:14" ht="25.5">
      <c r="A174" s="247" t="s">
        <v>785</v>
      </c>
      <c r="B174" s="250" t="s">
        <v>786</v>
      </c>
      <c r="C174" s="247" t="s">
        <v>78</v>
      </c>
      <c r="D174" s="248">
        <v>13</v>
      </c>
      <c r="E174" s="248">
        <v>191.83699999999999</v>
      </c>
      <c r="F174" s="252">
        <f t="shared" si="13"/>
        <v>2493.8809999999999</v>
      </c>
      <c r="G174" s="288"/>
      <c r="H174" s="353"/>
      <c r="I174" s="260"/>
      <c r="J174" s="252"/>
      <c r="K174" s="249"/>
      <c r="L174" s="249"/>
      <c r="M174" s="249"/>
      <c r="N174" s="302"/>
    </row>
    <row r="175" spans="1:14" ht="38.25">
      <c r="A175" s="247" t="s">
        <v>787</v>
      </c>
      <c r="B175" s="250" t="s">
        <v>788</v>
      </c>
      <c r="C175" s="247" t="s">
        <v>78</v>
      </c>
      <c r="D175" s="248">
        <v>24</v>
      </c>
      <c r="E175" s="248">
        <v>29.09</v>
      </c>
      <c r="F175" s="252">
        <f t="shared" si="13"/>
        <v>698.16</v>
      </c>
      <c r="G175" s="288"/>
      <c r="H175" s="353"/>
      <c r="I175" s="260"/>
      <c r="J175" s="252"/>
      <c r="K175" s="249"/>
      <c r="L175" s="249"/>
      <c r="M175" s="249"/>
      <c r="N175" s="302"/>
    </row>
    <row r="176" spans="1:14">
      <c r="A176" s="247" t="s">
        <v>789</v>
      </c>
      <c r="B176" s="250" t="s">
        <v>790</v>
      </c>
      <c r="C176" s="247" t="s">
        <v>78</v>
      </c>
      <c r="D176" s="248">
        <v>1</v>
      </c>
      <c r="E176" s="248">
        <v>351.77</v>
      </c>
      <c r="F176" s="252">
        <f t="shared" si="13"/>
        <v>351.77</v>
      </c>
      <c r="G176" s="288"/>
      <c r="H176" s="353"/>
      <c r="I176" s="260"/>
      <c r="J176" s="252"/>
      <c r="K176" s="249"/>
      <c r="L176" s="249"/>
      <c r="M176" s="249"/>
      <c r="N176" s="302"/>
    </row>
    <row r="177" spans="1:14" ht="25.5">
      <c r="A177" s="247" t="s">
        <v>791</v>
      </c>
      <c r="B177" s="250" t="s">
        <v>792</v>
      </c>
      <c r="C177" s="247" t="s">
        <v>78</v>
      </c>
      <c r="D177" s="248">
        <v>31</v>
      </c>
      <c r="E177" s="248">
        <v>5.9233000000000002</v>
      </c>
      <c r="F177" s="252">
        <f t="shared" si="13"/>
        <v>183.6223</v>
      </c>
      <c r="G177" s="288"/>
      <c r="H177" s="353"/>
      <c r="I177" s="260"/>
      <c r="J177" s="252"/>
      <c r="K177" s="249"/>
      <c r="L177" s="249"/>
      <c r="M177" s="249"/>
      <c r="N177" s="302"/>
    </row>
    <row r="178" spans="1:14" ht="25.5">
      <c r="A178" s="247" t="s">
        <v>793</v>
      </c>
      <c r="B178" s="250" t="s">
        <v>794</v>
      </c>
      <c r="C178" s="247" t="s">
        <v>78</v>
      </c>
      <c r="D178" s="248">
        <v>31</v>
      </c>
      <c r="E178" s="248">
        <v>18.189499999999999</v>
      </c>
      <c r="F178" s="252">
        <f t="shared" si="13"/>
        <v>563.87450000000001</v>
      </c>
      <c r="G178" s="288"/>
      <c r="H178" s="353"/>
      <c r="I178" s="260"/>
      <c r="J178" s="252"/>
      <c r="K178" s="249"/>
      <c r="L178" s="249"/>
      <c r="M178" s="249"/>
      <c r="N178" s="302"/>
    </row>
    <row r="179" spans="1:14">
      <c r="A179" s="253" t="s">
        <v>113</v>
      </c>
      <c r="B179" s="254" t="s">
        <v>795</v>
      </c>
      <c r="C179" s="253"/>
      <c r="D179" s="255"/>
      <c r="E179" s="345"/>
      <c r="F179" s="350">
        <f>SUM(F180:F188)+0.01</f>
        <v>22831.880199999996</v>
      </c>
      <c r="G179" s="288"/>
      <c r="H179" s="353"/>
      <c r="I179" s="260"/>
      <c r="J179" s="252"/>
      <c r="K179" s="249"/>
      <c r="L179" s="249"/>
      <c r="M179" s="249"/>
      <c r="N179" s="302"/>
    </row>
    <row r="180" spans="1:14" ht="51">
      <c r="A180" s="247" t="s">
        <v>796</v>
      </c>
      <c r="B180" s="250" t="s">
        <v>797</v>
      </c>
      <c r="C180" s="247" t="s">
        <v>78</v>
      </c>
      <c r="D180" s="248">
        <v>18</v>
      </c>
      <c r="E180" s="248">
        <v>202.738</v>
      </c>
      <c r="F180" s="252">
        <f t="shared" si="13"/>
        <v>3649.2840000000001</v>
      </c>
      <c r="G180" s="288"/>
      <c r="H180" s="353"/>
      <c r="I180" s="260"/>
      <c r="J180" s="252"/>
      <c r="K180" s="249"/>
      <c r="L180" s="249"/>
      <c r="M180" s="249"/>
      <c r="N180" s="302"/>
    </row>
    <row r="181" spans="1:14" ht="51">
      <c r="A181" s="247" t="s">
        <v>798</v>
      </c>
      <c r="B181" s="250" t="s">
        <v>799</v>
      </c>
      <c r="C181" s="247" t="s">
        <v>78</v>
      </c>
      <c r="D181" s="248">
        <v>2</v>
      </c>
      <c r="E181" s="248">
        <v>755.27599999999995</v>
      </c>
      <c r="F181" s="252">
        <f t="shared" si="13"/>
        <v>1510.5519999999999</v>
      </c>
      <c r="G181" s="288"/>
      <c r="H181" s="353"/>
      <c r="I181" s="260"/>
      <c r="J181" s="252"/>
      <c r="K181" s="249"/>
      <c r="L181" s="249"/>
      <c r="M181" s="249"/>
      <c r="N181" s="302"/>
    </row>
    <row r="182" spans="1:14" ht="38.25">
      <c r="A182" s="247" t="s">
        <v>800</v>
      </c>
      <c r="B182" s="250" t="s">
        <v>801</v>
      </c>
      <c r="C182" s="247" t="s">
        <v>105</v>
      </c>
      <c r="D182" s="248">
        <v>4.8</v>
      </c>
      <c r="E182" s="248">
        <v>1037.2539999999999</v>
      </c>
      <c r="F182" s="252">
        <f t="shared" si="13"/>
        <v>4978.819199999999</v>
      </c>
      <c r="G182" s="288"/>
      <c r="H182" s="353"/>
      <c r="I182" s="260"/>
      <c r="J182" s="252"/>
      <c r="K182" s="249"/>
      <c r="L182" s="249"/>
      <c r="M182" s="249"/>
      <c r="N182" s="302"/>
    </row>
    <row r="183" spans="1:14">
      <c r="A183" s="247" t="s">
        <v>802</v>
      </c>
      <c r="B183" s="250" t="s">
        <v>803</v>
      </c>
      <c r="C183" s="247" t="s">
        <v>8</v>
      </c>
      <c r="D183" s="352">
        <v>1</v>
      </c>
      <c r="E183" s="248">
        <v>278.27</v>
      </c>
      <c r="F183" s="252">
        <f t="shared" si="13"/>
        <v>278.27</v>
      </c>
      <c r="G183" s="288"/>
      <c r="H183" s="353"/>
      <c r="I183" s="260"/>
      <c r="J183" s="252"/>
      <c r="K183" s="249"/>
      <c r="L183" s="249"/>
      <c r="M183" s="249"/>
      <c r="N183" s="302"/>
    </row>
    <row r="184" spans="1:14" ht="63.75">
      <c r="A184" s="247" t="s">
        <v>804</v>
      </c>
      <c r="B184" s="250" t="s">
        <v>805</v>
      </c>
      <c r="C184" s="247" t="s">
        <v>78</v>
      </c>
      <c r="D184" s="352">
        <v>8.4700000000000006</v>
      </c>
      <c r="E184" s="248">
        <v>746.7</v>
      </c>
      <c r="F184" s="252">
        <f>E184*D184-0.02</f>
        <v>6324.5290000000005</v>
      </c>
      <c r="G184" s="288"/>
      <c r="H184" s="353"/>
      <c r="I184" s="260"/>
      <c r="J184" s="252"/>
      <c r="K184" s="249"/>
      <c r="L184" s="249"/>
      <c r="M184" s="249"/>
      <c r="N184" s="302"/>
    </row>
    <row r="185" spans="1:14" ht="25.5">
      <c r="A185" s="247" t="s">
        <v>806</v>
      </c>
      <c r="B185" s="250" t="s">
        <v>807</v>
      </c>
      <c r="C185" s="247" t="s">
        <v>78</v>
      </c>
      <c r="D185" s="248">
        <v>8</v>
      </c>
      <c r="E185" s="248">
        <v>179.86099999999999</v>
      </c>
      <c r="F185" s="252">
        <f t="shared" si="13"/>
        <v>1438.8879999999999</v>
      </c>
      <c r="G185" s="288"/>
      <c r="H185" s="353"/>
      <c r="I185" s="260"/>
      <c r="J185" s="252"/>
      <c r="K185" s="249"/>
      <c r="L185" s="249"/>
      <c r="M185" s="249"/>
      <c r="N185" s="302"/>
    </row>
    <row r="186" spans="1:14" ht="25.5">
      <c r="A186" s="247" t="s">
        <v>808</v>
      </c>
      <c r="B186" s="250" t="s">
        <v>809</v>
      </c>
      <c r="C186" s="247" t="s">
        <v>78</v>
      </c>
      <c r="D186" s="248">
        <v>8</v>
      </c>
      <c r="E186" s="248">
        <v>144.80500000000001</v>
      </c>
      <c r="F186" s="252">
        <f t="shared" si="13"/>
        <v>1158.44</v>
      </c>
      <c r="G186" s="288"/>
      <c r="H186" s="353"/>
      <c r="I186" s="260"/>
      <c r="J186" s="252"/>
      <c r="K186" s="249"/>
      <c r="L186" s="249"/>
      <c r="M186" s="249"/>
      <c r="N186" s="302"/>
    </row>
    <row r="187" spans="1:14" ht="38.25">
      <c r="A187" s="247" t="s">
        <v>810</v>
      </c>
      <c r="B187" s="250" t="s">
        <v>811</v>
      </c>
      <c r="C187" s="247" t="s">
        <v>78</v>
      </c>
      <c r="D187" s="248">
        <v>7</v>
      </c>
      <c r="E187" s="248">
        <v>420.78399999999999</v>
      </c>
      <c r="F187" s="252">
        <f t="shared" si="13"/>
        <v>2945.4879999999998</v>
      </c>
      <c r="G187" s="288"/>
      <c r="H187" s="353"/>
      <c r="I187" s="260"/>
      <c r="J187" s="252"/>
      <c r="K187" s="249"/>
      <c r="L187" s="249"/>
      <c r="M187" s="249"/>
      <c r="N187" s="302"/>
    </row>
    <row r="188" spans="1:14" ht="25.5">
      <c r="A188" s="247" t="s">
        <v>812</v>
      </c>
      <c r="B188" s="250" t="s">
        <v>813</v>
      </c>
      <c r="C188" s="247" t="s">
        <v>78</v>
      </c>
      <c r="D188" s="248">
        <v>1</v>
      </c>
      <c r="E188" s="248">
        <v>547.6</v>
      </c>
      <c r="F188" s="252">
        <f t="shared" si="13"/>
        <v>547.6</v>
      </c>
      <c r="G188" s="288"/>
      <c r="H188" s="353"/>
      <c r="I188" s="260"/>
      <c r="J188" s="252"/>
      <c r="K188" s="249"/>
      <c r="L188" s="249"/>
      <c r="M188" s="249"/>
      <c r="N188" s="302"/>
    </row>
    <row r="189" spans="1:14">
      <c r="A189" s="253" t="s">
        <v>115</v>
      </c>
      <c r="B189" s="254" t="s">
        <v>814</v>
      </c>
      <c r="C189" s="253"/>
      <c r="D189" s="255"/>
      <c r="E189" s="345"/>
      <c r="F189" s="350">
        <f>SUM(F190:F192)</f>
        <v>911.47508999999991</v>
      </c>
      <c r="G189" s="288"/>
      <c r="H189" s="353"/>
      <c r="I189" s="260"/>
      <c r="J189" s="252"/>
      <c r="K189" s="249"/>
      <c r="L189" s="249"/>
      <c r="M189" s="249"/>
      <c r="N189" s="302"/>
    </row>
    <row r="190" spans="1:14" ht="38.25">
      <c r="A190" s="247" t="s">
        <v>815</v>
      </c>
      <c r="B190" s="250" t="s">
        <v>816</v>
      </c>
      <c r="C190" s="247" t="s">
        <v>105</v>
      </c>
      <c r="D190" s="248">
        <v>20.46</v>
      </c>
      <c r="E190" s="248">
        <v>38.141500000000001</v>
      </c>
      <c r="F190" s="252">
        <f t="shared" si="13"/>
        <v>780.37509</v>
      </c>
      <c r="G190" s="288"/>
      <c r="H190" s="353"/>
      <c r="I190" s="260"/>
      <c r="J190" s="252"/>
      <c r="K190" s="249"/>
      <c r="L190" s="249"/>
      <c r="M190" s="249"/>
      <c r="N190" s="302"/>
    </row>
    <row r="191" spans="1:14" ht="38.25">
      <c r="A191" s="247" t="s">
        <v>817</v>
      </c>
      <c r="B191" s="250" t="s">
        <v>818</v>
      </c>
      <c r="C191" s="247" t="s">
        <v>78</v>
      </c>
      <c r="D191" s="248">
        <v>5</v>
      </c>
      <c r="E191" s="248">
        <v>17.082000000000001</v>
      </c>
      <c r="F191" s="252">
        <f t="shared" si="13"/>
        <v>85.41</v>
      </c>
      <c r="G191" s="288"/>
      <c r="H191" s="353"/>
      <c r="I191" s="260"/>
      <c r="J191" s="252"/>
      <c r="K191" s="249"/>
      <c r="L191" s="249"/>
      <c r="M191" s="249"/>
      <c r="N191" s="302"/>
    </row>
    <row r="192" spans="1:14" ht="25.5">
      <c r="A192" s="247" t="s">
        <v>819</v>
      </c>
      <c r="B192" s="250" t="s">
        <v>820</v>
      </c>
      <c r="C192" s="247" t="s">
        <v>78</v>
      </c>
      <c r="D192" s="248">
        <v>5</v>
      </c>
      <c r="E192" s="248">
        <v>9.1379999999999999</v>
      </c>
      <c r="F192" s="252">
        <f t="shared" si="13"/>
        <v>45.69</v>
      </c>
      <c r="G192" s="288"/>
      <c r="H192" s="353"/>
      <c r="I192" s="260"/>
      <c r="J192" s="252"/>
      <c r="K192" s="249"/>
      <c r="L192" s="249"/>
      <c r="M192" s="249"/>
      <c r="N192" s="302"/>
    </row>
    <row r="193" spans="1:14">
      <c r="A193" s="520"/>
      <c r="B193" s="521"/>
      <c r="C193" s="521"/>
      <c r="D193" s="521"/>
      <c r="E193" s="521"/>
      <c r="F193" s="521"/>
      <c r="G193" s="521"/>
      <c r="H193" s="521"/>
      <c r="I193" s="521"/>
      <c r="J193" s="521"/>
      <c r="K193" s="521"/>
      <c r="L193" s="521"/>
      <c r="M193" s="522"/>
      <c r="N193" s="302"/>
    </row>
    <row r="194" spans="1:14" s="420" customFormat="1" ht="18" customHeight="1">
      <c r="A194" s="384" t="s">
        <v>821</v>
      </c>
      <c r="B194" s="563" t="s">
        <v>822</v>
      </c>
      <c r="C194" s="564"/>
      <c r="D194" s="564"/>
      <c r="E194" s="565"/>
      <c r="F194" s="385">
        <f>SUM(F195:F232)</f>
        <v>41814.853317100016</v>
      </c>
      <c r="G194" s="386"/>
      <c r="H194" s="387"/>
      <c r="I194" s="388"/>
      <c r="J194" s="417"/>
      <c r="K194" s="431"/>
      <c r="L194" s="431"/>
      <c r="M194" s="431"/>
      <c r="N194" s="419"/>
    </row>
    <row r="195" spans="1:14">
      <c r="A195" s="247" t="s">
        <v>126</v>
      </c>
      <c r="B195" s="250" t="s">
        <v>823</v>
      </c>
      <c r="C195" s="258" t="s">
        <v>78</v>
      </c>
      <c r="D195" s="248">
        <v>0</v>
      </c>
      <c r="E195" s="248">
        <v>732.94</v>
      </c>
      <c r="F195" s="252"/>
      <c r="G195" s="288"/>
      <c r="H195" s="292"/>
      <c r="I195" s="260"/>
      <c r="J195" s="252"/>
      <c r="K195" s="249"/>
      <c r="L195" s="249"/>
      <c r="M195" s="249"/>
      <c r="N195" s="302"/>
    </row>
    <row r="196" spans="1:14">
      <c r="A196" s="247" t="s">
        <v>128</v>
      </c>
      <c r="B196" s="250" t="s">
        <v>824</v>
      </c>
      <c r="C196" s="258" t="s">
        <v>23</v>
      </c>
      <c r="D196" s="248">
        <v>0.35</v>
      </c>
      <c r="E196" s="248">
        <v>25.61</v>
      </c>
      <c r="F196" s="252">
        <f t="shared" ref="F196:F231" si="14">E196*D196</f>
        <v>8.9634999999999998</v>
      </c>
      <c r="G196" s="288"/>
      <c r="H196" s="353"/>
      <c r="I196" s="260"/>
      <c r="J196" s="252"/>
      <c r="K196" s="249"/>
      <c r="L196" s="249"/>
      <c r="M196" s="249"/>
      <c r="N196" s="302"/>
    </row>
    <row r="197" spans="1:14" ht="38.25">
      <c r="A197" s="247" t="s">
        <v>130</v>
      </c>
      <c r="B197" s="250" t="s">
        <v>825</v>
      </c>
      <c r="C197" s="258" t="s">
        <v>78</v>
      </c>
      <c r="D197" s="248">
        <v>2</v>
      </c>
      <c r="E197" s="248">
        <v>612.87</v>
      </c>
      <c r="F197" s="252">
        <f t="shared" si="14"/>
        <v>1225.74</v>
      </c>
      <c r="G197" s="288"/>
      <c r="H197" s="353"/>
      <c r="I197" s="260"/>
      <c r="J197" s="252"/>
      <c r="K197" s="276"/>
      <c r="L197" s="249"/>
      <c r="M197" s="276"/>
      <c r="N197" s="302"/>
    </row>
    <row r="198" spans="1:14" ht="25.5">
      <c r="A198" s="247" t="s">
        <v>132</v>
      </c>
      <c r="B198" s="250" t="s">
        <v>826</v>
      </c>
      <c r="C198" s="258" t="s">
        <v>23</v>
      </c>
      <c r="D198" s="248">
        <v>0.06</v>
      </c>
      <c r="E198" s="248">
        <v>337.87</v>
      </c>
      <c r="F198" s="252">
        <f t="shared" si="14"/>
        <v>20.272199999999998</v>
      </c>
      <c r="G198" s="288"/>
      <c r="H198" s="353"/>
      <c r="I198" s="260"/>
      <c r="J198" s="252"/>
      <c r="K198" s="276"/>
      <c r="L198" s="249"/>
      <c r="M198" s="276"/>
      <c r="N198" s="302"/>
    </row>
    <row r="199" spans="1:14">
      <c r="A199" s="247" t="s">
        <v>134</v>
      </c>
      <c r="B199" s="250" t="s">
        <v>827</v>
      </c>
      <c r="C199" s="258" t="s">
        <v>23</v>
      </c>
      <c r="D199" s="248">
        <v>0.06</v>
      </c>
      <c r="E199" s="248">
        <v>84.49</v>
      </c>
      <c r="F199" s="252">
        <f t="shared" si="14"/>
        <v>5.0693999999999999</v>
      </c>
      <c r="G199" s="288"/>
      <c r="H199" s="353"/>
      <c r="I199" s="260"/>
      <c r="J199" s="252"/>
      <c r="K199" s="276"/>
      <c r="L199" s="249"/>
      <c r="M199" s="276"/>
      <c r="N199" s="302"/>
    </row>
    <row r="200" spans="1:14">
      <c r="A200" s="247" t="s">
        <v>136</v>
      </c>
      <c r="B200" s="250" t="s">
        <v>828</v>
      </c>
      <c r="C200" s="258" t="s">
        <v>23</v>
      </c>
      <c r="D200" s="248">
        <v>0.28999999999999998</v>
      </c>
      <c r="E200" s="248">
        <v>44.81</v>
      </c>
      <c r="F200" s="252">
        <f t="shared" si="14"/>
        <v>12.994899999999999</v>
      </c>
      <c r="G200" s="288"/>
      <c r="H200" s="353"/>
      <c r="I200" s="260"/>
      <c r="J200" s="252"/>
      <c r="K200" s="276"/>
      <c r="L200" s="249"/>
      <c r="M200" s="276"/>
      <c r="N200" s="302"/>
    </row>
    <row r="201" spans="1:14" ht="25.5">
      <c r="A201" s="247" t="s">
        <v>138</v>
      </c>
      <c r="B201" s="250" t="s">
        <v>829</v>
      </c>
      <c r="C201" s="258" t="s">
        <v>78</v>
      </c>
      <c r="D201" s="248">
        <v>24</v>
      </c>
      <c r="E201" s="248">
        <v>11.3</v>
      </c>
      <c r="F201" s="252">
        <f>E201*D201-0.04</f>
        <v>271.16000000000003</v>
      </c>
      <c r="G201" s="288"/>
      <c r="H201" s="353"/>
      <c r="I201" s="260"/>
      <c r="J201" s="252"/>
      <c r="K201" s="276"/>
      <c r="L201" s="249"/>
      <c r="M201" s="276"/>
      <c r="N201" s="302"/>
    </row>
    <row r="202" spans="1:14" ht="25.5">
      <c r="A202" s="247" t="s">
        <v>140</v>
      </c>
      <c r="B202" s="250" t="s">
        <v>830</v>
      </c>
      <c r="C202" s="258" t="s">
        <v>78</v>
      </c>
      <c r="D202" s="248">
        <v>2</v>
      </c>
      <c r="E202" s="248">
        <v>73.736000000000004</v>
      </c>
      <c r="F202" s="252">
        <f t="shared" si="14"/>
        <v>147.47200000000001</v>
      </c>
      <c r="G202" s="288"/>
      <c r="H202" s="353"/>
      <c r="I202" s="260"/>
      <c r="J202" s="252"/>
      <c r="K202" s="276"/>
      <c r="L202" s="249"/>
      <c r="M202" s="276"/>
      <c r="N202" s="302"/>
    </row>
    <row r="203" spans="1:14" ht="25.5">
      <c r="A203" s="247" t="s">
        <v>142</v>
      </c>
      <c r="B203" s="250" t="s">
        <v>831</v>
      </c>
      <c r="C203" s="258" t="s">
        <v>78</v>
      </c>
      <c r="D203" s="248">
        <v>3</v>
      </c>
      <c r="E203" s="248">
        <v>176.31299999999999</v>
      </c>
      <c r="F203" s="252">
        <f t="shared" si="14"/>
        <v>528.93899999999996</v>
      </c>
      <c r="G203" s="288"/>
      <c r="H203" s="353"/>
      <c r="I203" s="260"/>
      <c r="J203" s="252"/>
      <c r="K203" s="276"/>
      <c r="L203" s="249"/>
      <c r="M203" s="276"/>
      <c r="N203" s="302"/>
    </row>
    <row r="204" spans="1:14" ht="25.5">
      <c r="A204" s="247" t="s">
        <v>144</v>
      </c>
      <c r="B204" s="250" t="s">
        <v>832</v>
      </c>
      <c r="C204" s="258" t="s">
        <v>78</v>
      </c>
      <c r="D204" s="248">
        <v>1</v>
      </c>
      <c r="E204" s="248">
        <v>99.2</v>
      </c>
      <c r="F204" s="252">
        <f t="shared" si="14"/>
        <v>99.2</v>
      </c>
      <c r="G204" s="288"/>
      <c r="H204" s="353"/>
      <c r="I204" s="260"/>
      <c r="J204" s="252"/>
      <c r="K204" s="276"/>
      <c r="L204" s="249"/>
      <c r="M204" s="276"/>
      <c r="N204" s="302"/>
    </row>
    <row r="205" spans="1:14" ht="25.5">
      <c r="A205" s="247" t="s">
        <v>146</v>
      </c>
      <c r="B205" s="250" t="s">
        <v>833</v>
      </c>
      <c r="C205" s="258" t="s">
        <v>78</v>
      </c>
      <c r="D205" s="248">
        <v>12</v>
      </c>
      <c r="E205" s="248">
        <v>96.44</v>
      </c>
      <c r="F205" s="252">
        <f t="shared" si="14"/>
        <v>1157.28</v>
      </c>
      <c r="G205" s="288"/>
      <c r="H205" s="353"/>
      <c r="I205" s="260"/>
      <c r="J205" s="252"/>
      <c r="K205" s="276"/>
      <c r="L205" s="249"/>
      <c r="M205" s="276"/>
      <c r="N205" s="302"/>
    </row>
    <row r="206" spans="1:14" ht="25.5">
      <c r="A206" s="247" t="s">
        <v>148</v>
      </c>
      <c r="B206" s="250" t="s">
        <v>834</v>
      </c>
      <c r="C206" s="258" t="s">
        <v>78</v>
      </c>
      <c r="D206" s="248">
        <v>25</v>
      </c>
      <c r="E206" s="248">
        <v>20.49</v>
      </c>
      <c r="F206" s="252">
        <f t="shared" si="14"/>
        <v>512.25</v>
      </c>
      <c r="G206" s="288"/>
      <c r="H206" s="353"/>
      <c r="I206" s="260"/>
      <c r="J206" s="252"/>
      <c r="K206" s="276"/>
      <c r="L206" s="249"/>
      <c r="M206" s="276"/>
      <c r="N206" s="302"/>
    </row>
    <row r="207" spans="1:14" ht="25.5">
      <c r="A207" s="247" t="s">
        <v>150</v>
      </c>
      <c r="B207" s="250" t="s">
        <v>835</v>
      </c>
      <c r="C207" s="258" t="s">
        <v>78</v>
      </c>
      <c r="D207" s="248">
        <v>81</v>
      </c>
      <c r="E207" s="248">
        <v>34.465000000000003</v>
      </c>
      <c r="F207" s="252">
        <f t="shared" si="14"/>
        <v>2791.6650000000004</v>
      </c>
      <c r="G207" s="288"/>
      <c r="H207" s="353"/>
      <c r="I207" s="260"/>
      <c r="J207" s="252"/>
      <c r="K207" s="276"/>
      <c r="L207" s="249"/>
      <c r="M207" s="276"/>
      <c r="N207" s="302"/>
    </row>
    <row r="208" spans="1:14" ht="25.5">
      <c r="A208" s="247" t="s">
        <v>152</v>
      </c>
      <c r="B208" s="250" t="s">
        <v>836</v>
      </c>
      <c r="C208" s="258" t="s">
        <v>78</v>
      </c>
      <c r="D208" s="248">
        <v>1</v>
      </c>
      <c r="E208" s="248">
        <v>32.49</v>
      </c>
      <c r="F208" s="252">
        <f t="shared" si="14"/>
        <v>32.49</v>
      </c>
      <c r="G208" s="288"/>
      <c r="H208" s="353"/>
      <c r="I208" s="260"/>
      <c r="J208" s="252"/>
      <c r="K208" s="276"/>
      <c r="L208" s="249"/>
      <c r="M208" s="276"/>
      <c r="N208" s="302"/>
    </row>
    <row r="209" spans="1:14" ht="25.5">
      <c r="A209" s="247" t="s">
        <v>154</v>
      </c>
      <c r="B209" s="250" t="s">
        <v>837</v>
      </c>
      <c r="C209" s="258" t="s">
        <v>78</v>
      </c>
      <c r="D209" s="248">
        <v>2</v>
      </c>
      <c r="E209" s="248">
        <v>25.23</v>
      </c>
      <c r="F209" s="252">
        <f t="shared" si="14"/>
        <v>50.46</v>
      </c>
      <c r="G209" s="288"/>
      <c r="H209" s="353"/>
      <c r="I209" s="260"/>
      <c r="J209" s="252"/>
      <c r="K209" s="276"/>
      <c r="L209" s="249"/>
      <c r="M209" s="276"/>
      <c r="N209" s="302"/>
    </row>
    <row r="210" spans="1:14">
      <c r="A210" s="247" t="s">
        <v>156</v>
      </c>
      <c r="B210" s="250" t="s">
        <v>838</v>
      </c>
      <c r="C210" s="258" t="s">
        <v>78</v>
      </c>
      <c r="D210" s="248">
        <v>11</v>
      </c>
      <c r="E210" s="248">
        <v>36.131999999999998</v>
      </c>
      <c r="F210" s="252">
        <f t="shared" si="14"/>
        <v>397.452</v>
      </c>
      <c r="G210" s="288"/>
      <c r="H210" s="353"/>
      <c r="I210" s="260"/>
      <c r="J210" s="252"/>
      <c r="K210" s="276"/>
      <c r="L210" s="249"/>
      <c r="M210" s="276"/>
      <c r="N210" s="302"/>
    </row>
    <row r="211" spans="1:14" ht="25.5">
      <c r="A211" s="247" t="s">
        <v>158</v>
      </c>
      <c r="B211" s="250" t="s">
        <v>839</v>
      </c>
      <c r="C211" s="258" t="s">
        <v>78</v>
      </c>
      <c r="D211" s="248">
        <v>33</v>
      </c>
      <c r="E211" s="248">
        <v>21.725999999999999</v>
      </c>
      <c r="F211" s="252">
        <f t="shared" si="14"/>
        <v>716.95799999999997</v>
      </c>
      <c r="G211" s="288"/>
      <c r="H211" s="353"/>
      <c r="I211" s="260"/>
      <c r="J211" s="252"/>
      <c r="K211" s="276"/>
      <c r="L211" s="249"/>
      <c r="M211" s="276"/>
      <c r="N211" s="302"/>
    </row>
    <row r="212" spans="1:14" ht="25.5">
      <c r="A212" s="247" t="s">
        <v>160</v>
      </c>
      <c r="B212" s="250" t="s">
        <v>840</v>
      </c>
      <c r="C212" s="258" t="s">
        <v>78</v>
      </c>
      <c r="D212" s="248">
        <v>19</v>
      </c>
      <c r="E212" s="248">
        <v>23.7685</v>
      </c>
      <c r="F212" s="252">
        <f t="shared" si="14"/>
        <v>451.60149999999999</v>
      </c>
      <c r="G212" s="288"/>
      <c r="H212" s="353"/>
      <c r="I212" s="260"/>
      <c r="J212" s="252"/>
      <c r="K212" s="276"/>
      <c r="L212" s="249"/>
      <c r="M212" s="276"/>
      <c r="N212" s="302"/>
    </row>
    <row r="213" spans="1:14" ht="25.5">
      <c r="A213" s="247" t="s">
        <v>162</v>
      </c>
      <c r="B213" s="250" t="s">
        <v>841</v>
      </c>
      <c r="C213" s="258" t="s">
        <v>78</v>
      </c>
      <c r="D213" s="248">
        <v>27</v>
      </c>
      <c r="E213" s="248">
        <v>34.9</v>
      </c>
      <c r="F213" s="252">
        <f>E213*D213-0.13</f>
        <v>942.17</v>
      </c>
      <c r="G213" s="288"/>
      <c r="H213" s="353"/>
      <c r="I213" s="260"/>
      <c r="J213" s="252"/>
      <c r="K213" s="276"/>
      <c r="L213" s="249"/>
      <c r="M213" s="276"/>
      <c r="N213" s="302"/>
    </row>
    <row r="214" spans="1:14" ht="25.5">
      <c r="A214" s="247" t="s">
        <v>164</v>
      </c>
      <c r="B214" s="250" t="s">
        <v>842</v>
      </c>
      <c r="C214" s="258" t="s">
        <v>105</v>
      </c>
      <c r="D214" s="248">
        <v>226.5</v>
      </c>
      <c r="E214" s="248">
        <v>2.6122999999999998</v>
      </c>
      <c r="F214" s="252">
        <f t="shared" si="14"/>
        <v>591.68594999999993</v>
      </c>
      <c r="G214" s="288"/>
      <c r="H214" s="353"/>
      <c r="I214" s="260"/>
      <c r="J214" s="252"/>
      <c r="K214" s="276"/>
      <c r="L214" s="249"/>
      <c r="M214" s="276"/>
      <c r="N214" s="302"/>
    </row>
    <row r="215" spans="1:14" ht="25.5">
      <c r="A215" s="247" t="s">
        <v>166</v>
      </c>
      <c r="B215" s="250" t="s">
        <v>843</v>
      </c>
      <c r="C215" s="258" t="s">
        <v>105</v>
      </c>
      <c r="D215" s="248">
        <v>1454.1</v>
      </c>
      <c r="E215" s="248">
        <v>3.8915700000000002</v>
      </c>
      <c r="F215" s="252">
        <f t="shared" si="14"/>
        <v>5658.7319369999996</v>
      </c>
      <c r="G215" s="288"/>
      <c r="H215" s="353"/>
      <c r="I215" s="260"/>
      <c r="J215" s="252"/>
      <c r="K215" s="276"/>
      <c r="L215" s="276"/>
      <c r="M215" s="276"/>
      <c r="N215" s="302"/>
    </row>
    <row r="216" spans="1:14" ht="25.5">
      <c r="A216" s="247" t="s">
        <v>168</v>
      </c>
      <c r="B216" s="250" t="s">
        <v>844</v>
      </c>
      <c r="C216" s="258" t="s">
        <v>105</v>
      </c>
      <c r="D216" s="248">
        <v>1900.2</v>
      </c>
      <c r="E216" s="248">
        <v>5.9126099999999999</v>
      </c>
      <c r="F216" s="252">
        <f t="shared" si="14"/>
        <v>11235.141522</v>
      </c>
      <c r="G216" s="288"/>
      <c r="H216" s="353"/>
      <c r="I216" s="260"/>
      <c r="J216" s="252"/>
      <c r="K216" s="276"/>
      <c r="L216" s="276"/>
      <c r="M216" s="276"/>
      <c r="N216" s="302"/>
    </row>
    <row r="217" spans="1:14" ht="25.5">
      <c r="A217" s="247" t="s">
        <v>170</v>
      </c>
      <c r="B217" s="250" t="s">
        <v>845</v>
      </c>
      <c r="C217" s="258" t="s">
        <v>105</v>
      </c>
      <c r="D217" s="248">
        <v>112.2</v>
      </c>
      <c r="E217" s="248">
        <v>8.9226500000000009</v>
      </c>
      <c r="F217" s="252">
        <f t="shared" si="14"/>
        <v>1001.1213300000002</v>
      </c>
      <c r="G217" s="288"/>
      <c r="H217" s="353"/>
      <c r="I217" s="260"/>
      <c r="J217" s="252"/>
      <c r="K217" s="276"/>
      <c r="L217" s="276"/>
      <c r="M217" s="276"/>
      <c r="N217" s="302"/>
    </row>
    <row r="218" spans="1:14" ht="25.5">
      <c r="A218" s="247" t="s">
        <v>172</v>
      </c>
      <c r="B218" s="250" t="s">
        <v>846</v>
      </c>
      <c r="C218" s="258" t="s">
        <v>105</v>
      </c>
      <c r="D218" s="248">
        <v>449.1</v>
      </c>
      <c r="E218" s="248">
        <v>6.5898700000000003</v>
      </c>
      <c r="F218" s="252">
        <f t="shared" si="14"/>
        <v>2959.5106170000004</v>
      </c>
      <c r="G218" s="288"/>
      <c r="H218" s="353"/>
      <c r="I218" s="260"/>
      <c r="J218" s="252"/>
      <c r="K218" s="276"/>
      <c r="L218" s="276"/>
      <c r="M218" s="276"/>
      <c r="N218" s="302"/>
    </row>
    <row r="219" spans="1:14" ht="25.5">
      <c r="A219" s="247" t="s">
        <v>174</v>
      </c>
      <c r="B219" s="250" t="s">
        <v>847</v>
      </c>
      <c r="C219" s="258" t="s">
        <v>105</v>
      </c>
      <c r="D219" s="248">
        <v>76.099999999999994</v>
      </c>
      <c r="E219" s="248">
        <v>8.4604999999999997</v>
      </c>
      <c r="F219" s="252">
        <f t="shared" si="14"/>
        <v>643.84404999999992</v>
      </c>
      <c r="G219" s="288"/>
      <c r="H219" s="353"/>
      <c r="I219" s="260"/>
      <c r="J219" s="252"/>
      <c r="K219" s="276"/>
      <c r="L219" s="276"/>
      <c r="M219" s="276"/>
      <c r="N219" s="302"/>
    </row>
    <row r="220" spans="1:14" ht="25.5">
      <c r="A220" s="247" t="s">
        <v>176</v>
      </c>
      <c r="B220" s="250" t="s">
        <v>848</v>
      </c>
      <c r="C220" s="258" t="s">
        <v>105</v>
      </c>
      <c r="D220" s="248">
        <v>261.5</v>
      </c>
      <c r="E220" s="248">
        <v>8.6753999999999998</v>
      </c>
      <c r="F220" s="252">
        <f t="shared" si="14"/>
        <v>2268.6170999999999</v>
      </c>
      <c r="G220" s="288"/>
      <c r="H220" s="353"/>
      <c r="I220" s="260"/>
      <c r="J220" s="252"/>
      <c r="K220" s="276"/>
      <c r="L220" s="276"/>
      <c r="M220" s="276"/>
      <c r="N220" s="302"/>
    </row>
    <row r="221" spans="1:14" s="342" customFormat="1" ht="25.5">
      <c r="A221" s="247" t="s">
        <v>178</v>
      </c>
      <c r="B221" s="250" t="s">
        <v>849</v>
      </c>
      <c r="C221" s="258" t="s">
        <v>105</v>
      </c>
      <c r="D221" s="248">
        <v>42.1</v>
      </c>
      <c r="E221" s="248">
        <v>11.1587</v>
      </c>
      <c r="F221" s="252">
        <f t="shared" si="14"/>
        <v>469.78127000000001</v>
      </c>
      <c r="G221" s="288"/>
      <c r="H221" s="353"/>
      <c r="I221" s="260"/>
      <c r="J221" s="252"/>
      <c r="K221" s="347"/>
      <c r="L221" s="347"/>
      <c r="M221" s="347"/>
      <c r="N221" s="341"/>
    </row>
    <row r="222" spans="1:14" s="342" customFormat="1" ht="25.5">
      <c r="A222" s="247" t="s">
        <v>180</v>
      </c>
      <c r="B222" s="250" t="s">
        <v>850</v>
      </c>
      <c r="C222" s="258" t="s">
        <v>105</v>
      </c>
      <c r="D222" s="248">
        <v>6.2</v>
      </c>
      <c r="E222" s="248">
        <v>13.223000000000001</v>
      </c>
      <c r="F222" s="252">
        <f t="shared" si="14"/>
        <v>81.982600000000005</v>
      </c>
      <c r="G222" s="288"/>
      <c r="H222" s="353"/>
      <c r="I222" s="260"/>
      <c r="J222" s="252"/>
      <c r="K222" s="347"/>
      <c r="L222" s="347"/>
      <c r="M222" s="347"/>
      <c r="N222" s="341"/>
    </row>
    <row r="223" spans="1:14" s="342" customFormat="1" ht="25.5">
      <c r="A223" s="247" t="s">
        <v>182</v>
      </c>
      <c r="B223" s="250" t="s">
        <v>851</v>
      </c>
      <c r="C223" s="258" t="s">
        <v>78</v>
      </c>
      <c r="D223" s="248">
        <v>4</v>
      </c>
      <c r="E223" s="248">
        <v>46.677999999999997</v>
      </c>
      <c r="F223" s="252">
        <f t="shared" si="14"/>
        <v>186.71199999999999</v>
      </c>
      <c r="G223" s="288"/>
      <c r="H223" s="353"/>
      <c r="I223" s="260"/>
      <c r="J223" s="252"/>
      <c r="K223" s="347"/>
      <c r="L223" s="347"/>
      <c r="M223" s="347"/>
      <c r="N223" s="341"/>
    </row>
    <row r="224" spans="1:14" s="342" customFormat="1" ht="25.5">
      <c r="A224" s="247" t="s">
        <v>184</v>
      </c>
      <c r="B224" s="250" t="s">
        <v>852</v>
      </c>
      <c r="C224" s="258" t="s">
        <v>78</v>
      </c>
      <c r="D224" s="248">
        <v>219</v>
      </c>
      <c r="E224" s="248">
        <v>1.89205</v>
      </c>
      <c r="F224" s="252">
        <f t="shared" si="14"/>
        <v>414.35894999999999</v>
      </c>
      <c r="G224" s="288"/>
      <c r="H224" s="353"/>
      <c r="I224" s="260"/>
      <c r="J224" s="252"/>
      <c r="K224" s="347"/>
      <c r="L224" s="347"/>
      <c r="M224" s="347"/>
      <c r="N224" s="341"/>
    </row>
    <row r="225" spans="1:14" s="342" customFormat="1" ht="25.5">
      <c r="A225" s="247" t="s">
        <v>186</v>
      </c>
      <c r="B225" s="250" t="s">
        <v>853</v>
      </c>
      <c r="C225" s="258" t="s">
        <v>78</v>
      </c>
      <c r="D225" s="248">
        <v>39</v>
      </c>
      <c r="E225" s="248">
        <v>2.0318000000000001</v>
      </c>
      <c r="F225" s="252">
        <f t="shared" si="14"/>
        <v>79.240200000000002</v>
      </c>
      <c r="G225" s="288"/>
      <c r="H225" s="353"/>
      <c r="I225" s="260"/>
      <c r="J225" s="252"/>
      <c r="K225" s="347"/>
      <c r="L225" s="347"/>
      <c r="M225" s="347"/>
      <c r="N225" s="341"/>
    </row>
    <row r="226" spans="1:14" s="342" customFormat="1" ht="25.5">
      <c r="A226" s="247" t="s">
        <v>188</v>
      </c>
      <c r="B226" s="250" t="s">
        <v>854</v>
      </c>
      <c r="C226" s="258" t="s">
        <v>78</v>
      </c>
      <c r="D226" s="248">
        <v>6</v>
      </c>
      <c r="E226" s="248">
        <v>3.3</v>
      </c>
      <c r="F226" s="252">
        <f t="shared" si="14"/>
        <v>19.799999999999997</v>
      </c>
      <c r="G226" s="288"/>
      <c r="H226" s="353"/>
      <c r="I226" s="260"/>
      <c r="J226" s="252"/>
      <c r="K226" s="347"/>
      <c r="L226" s="347"/>
      <c r="M226" s="347"/>
      <c r="N226" s="341"/>
    </row>
    <row r="227" spans="1:14" s="342" customFormat="1" ht="25.5">
      <c r="A227" s="247" t="s">
        <v>190</v>
      </c>
      <c r="B227" s="250" t="s">
        <v>855</v>
      </c>
      <c r="C227" s="258" t="s">
        <v>78</v>
      </c>
      <c r="D227" s="248">
        <v>81</v>
      </c>
      <c r="E227" s="248">
        <v>8.0518000000000001</v>
      </c>
      <c r="F227" s="252">
        <f t="shared" si="14"/>
        <v>652.19579999999996</v>
      </c>
      <c r="G227" s="288"/>
      <c r="H227" s="353"/>
      <c r="I227" s="260"/>
      <c r="J227" s="252"/>
      <c r="K227" s="347"/>
      <c r="L227" s="347"/>
      <c r="M227" s="347"/>
      <c r="N227" s="341"/>
    </row>
    <row r="228" spans="1:14" ht="25.5">
      <c r="A228" s="247" t="s">
        <v>192</v>
      </c>
      <c r="B228" s="250" t="s">
        <v>856</v>
      </c>
      <c r="C228" s="258" t="s">
        <v>78</v>
      </c>
      <c r="D228" s="248">
        <v>127</v>
      </c>
      <c r="E228" s="248">
        <v>17.7378</v>
      </c>
      <c r="F228" s="252">
        <f t="shared" si="14"/>
        <v>2252.7006000000001</v>
      </c>
      <c r="G228" s="288"/>
      <c r="H228" s="353"/>
      <c r="I228" s="260"/>
      <c r="J228" s="252"/>
      <c r="K228" s="276"/>
      <c r="L228" s="276"/>
      <c r="M228" s="276"/>
      <c r="N228" s="302"/>
    </row>
    <row r="229" spans="1:14" ht="25.5">
      <c r="A229" s="247" t="s">
        <v>194</v>
      </c>
      <c r="B229" s="250" t="s">
        <v>857</v>
      </c>
      <c r="C229" s="258" t="s">
        <v>78</v>
      </c>
      <c r="D229" s="248">
        <v>29</v>
      </c>
      <c r="E229" s="248">
        <v>4.5045000000000002</v>
      </c>
      <c r="F229" s="252">
        <f t="shared" si="14"/>
        <v>130.63050000000001</v>
      </c>
      <c r="G229" s="288"/>
      <c r="H229" s="353"/>
      <c r="I229" s="260"/>
      <c r="J229" s="252"/>
      <c r="K229" s="276"/>
      <c r="L229" s="276"/>
      <c r="M229" s="276"/>
      <c r="N229" s="302"/>
    </row>
    <row r="230" spans="1:14" ht="25.5">
      <c r="A230" s="247" t="s">
        <v>196</v>
      </c>
      <c r="B230" s="250" t="s">
        <v>858</v>
      </c>
      <c r="C230" s="258" t="s">
        <v>78</v>
      </c>
      <c r="D230" s="248">
        <v>7</v>
      </c>
      <c r="E230" s="248">
        <v>5.9340000000000002</v>
      </c>
      <c r="F230" s="252">
        <f t="shared" si="14"/>
        <v>41.538000000000004</v>
      </c>
      <c r="G230" s="288"/>
      <c r="H230" s="353"/>
      <c r="I230" s="260"/>
      <c r="J230" s="252"/>
      <c r="K230" s="276"/>
      <c r="L230" s="276"/>
      <c r="M230" s="276"/>
      <c r="N230" s="302"/>
    </row>
    <row r="231" spans="1:14" ht="25.5">
      <c r="A231" s="247" t="s">
        <v>198</v>
      </c>
      <c r="B231" s="250" t="s">
        <v>859</v>
      </c>
      <c r="C231" s="258" t="s">
        <v>78</v>
      </c>
      <c r="D231" s="248">
        <v>1</v>
      </c>
      <c r="E231" s="248">
        <v>9.49</v>
      </c>
      <c r="F231" s="252">
        <f t="shared" si="14"/>
        <v>9.49</v>
      </c>
      <c r="G231" s="288"/>
      <c r="H231" s="353"/>
      <c r="I231" s="260"/>
      <c r="J231" s="252"/>
      <c r="K231" s="276"/>
      <c r="L231" s="276"/>
      <c r="M231" s="276"/>
      <c r="N231" s="302"/>
    </row>
    <row r="232" spans="1:14">
      <c r="A232" s="247" t="s">
        <v>200</v>
      </c>
      <c r="B232" s="239" t="s">
        <v>972</v>
      </c>
      <c r="C232" s="348" t="s">
        <v>78</v>
      </c>
      <c r="D232" s="349">
        <v>1</v>
      </c>
      <c r="E232" s="348">
        <f>3612.15*1.3126*0.79</f>
        <v>3745.6333911000006</v>
      </c>
      <c r="F232" s="252">
        <f>D232*E232</f>
        <v>3745.6333911000006</v>
      </c>
      <c r="G232" s="288"/>
      <c r="H232" s="292"/>
      <c r="I232" s="260"/>
      <c r="J232" s="252"/>
      <c r="K232" s="276"/>
      <c r="L232" s="276"/>
      <c r="M232" s="276"/>
      <c r="N232" s="302"/>
    </row>
    <row r="233" spans="1:14">
      <c r="A233" s="520"/>
      <c r="B233" s="521"/>
      <c r="C233" s="521"/>
      <c r="D233" s="521"/>
      <c r="E233" s="521"/>
      <c r="F233" s="521"/>
      <c r="G233" s="521"/>
      <c r="H233" s="521"/>
      <c r="I233" s="521"/>
      <c r="J233" s="521"/>
      <c r="K233" s="521"/>
      <c r="L233" s="521"/>
      <c r="M233" s="522"/>
      <c r="N233" s="302"/>
    </row>
    <row r="234" spans="1:14" s="420" customFormat="1" ht="18" customHeight="1">
      <c r="A234" s="384" t="s">
        <v>860</v>
      </c>
      <c r="B234" s="563" t="s">
        <v>861</v>
      </c>
      <c r="C234" s="564"/>
      <c r="D234" s="564"/>
      <c r="E234" s="565"/>
      <c r="F234" s="385">
        <f>SUM(F235:F239)</f>
        <v>3582.9520000000002</v>
      </c>
      <c r="G234" s="386"/>
      <c r="H234" s="387"/>
      <c r="I234" s="388"/>
      <c r="J234" s="417"/>
      <c r="K234" s="417"/>
      <c r="L234" s="417"/>
      <c r="M234" s="417"/>
      <c r="N234" s="419"/>
    </row>
    <row r="235" spans="1:14" ht="25.5">
      <c r="A235" s="247" t="s">
        <v>209</v>
      </c>
      <c r="B235" s="250" t="s">
        <v>862</v>
      </c>
      <c r="C235" s="258" t="s">
        <v>78</v>
      </c>
      <c r="D235" s="248">
        <v>4</v>
      </c>
      <c r="E235" s="248">
        <v>240.18</v>
      </c>
      <c r="F235" s="252">
        <f>E235*D235</f>
        <v>960.72</v>
      </c>
      <c r="G235" s="288"/>
      <c r="H235" s="353"/>
      <c r="I235" s="260"/>
      <c r="J235" s="252"/>
      <c r="K235" s="276"/>
      <c r="L235" s="276"/>
      <c r="M235" s="276"/>
      <c r="N235" s="302"/>
    </row>
    <row r="236" spans="1:14">
      <c r="A236" s="247" t="s">
        <v>211</v>
      </c>
      <c r="B236" s="250" t="s">
        <v>863</v>
      </c>
      <c r="C236" s="258" t="s">
        <v>78</v>
      </c>
      <c r="D236" s="248">
        <v>4</v>
      </c>
      <c r="E236" s="248">
        <v>272.42</v>
      </c>
      <c r="F236" s="252">
        <f>E236*D236</f>
        <v>1089.68</v>
      </c>
      <c r="G236" s="288"/>
      <c r="H236" s="353"/>
      <c r="I236" s="260"/>
      <c r="J236" s="252"/>
      <c r="K236" s="276"/>
      <c r="L236" s="276"/>
      <c r="M236" s="276"/>
      <c r="N236" s="302"/>
    </row>
    <row r="237" spans="1:14" ht="38.25">
      <c r="A237" s="247" t="s">
        <v>213</v>
      </c>
      <c r="B237" s="250" t="s">
        <v>864</v>
      </c>
      <c r="C237" s="258" t="s">
        <v>78</v>
      </c>
      <c r="D237" s="248">
        <v>20</v>
      </c>
      <c r="E237" s="248">
        <v>32.627000000000002</v>
      </c>
      <c r="F237" s="252">
        <f>E237*D237</f>
        <v>652.54000000000008</v>
      </c>
      <c r="G237" s="288"/>
      <c r="H237" s="353"/>
      <c r="I237" s="260"/>
      <c r="J237" s="252"/>
      <c r="K237" s="276"/>
      <c r="L237" s="276"/>
      <c r="M237" s="276"/>
      <c r="N237" s="302"/>
    </row>
    <row r="238" spans="1:14" ht="25.5">
      <c r="A238" s="247" t="s">
        <v>215</v>
      </c>
      <c r="B238" s="250" t="s">
        <v>865</v>
      </c>
      <c r="C238" s="258" t="s">
        <v>78</v>
      </c>
      <c r="D238" s="248">
        <v>4</v>
      </c>
      <c r="E238" s="248">
        <v>64.878</v>
      </c>
      <c r="F238" s="252">
        <f>E238*D238</f>
        <v>259.512</v>
      </c>
      <c r="G238" s="288"/>
      <c r="H238" s="353"/>
      <c r="I238" s="260"/>
      <c r="J238" s="252"/>
      <c r="K238" s="276"/>
      <c r="L238" s="276"/>
      <c r="M238" s="276"/>
      <c r="N238" s="302"/>
    </row>
    <row r="239" spans="1:14">
      <c r="A239" s="247" t="s">
        <v>217</v>
      </c>
      <c r="B239" s="250" t="s">
        <v>866</v>
      </c>
      <c r="C239" s="258" t="s">
        <v>78</v>
      </c>
      <c r="D239" s="248">
        <v>20</v>
      </c>
      <c r="E239" s="248">
        <v>31.024999999999999</v>
      </c>
      <c r="F239" s="252">
        <f>E239*D239</f>
        <v>620.5</v>
      </c>
      <c r="G239" s="288"/>
      <c r="H239" s="353"/>
      <c r="I239" s="260"/>
      <c r="J239" s="252"/>
      <c r="K239" s="276"/>
      <c r="L239" s="276"/>
      <c r="M239" s="276"/>
      <c r="N239" s="302"/>
    </row>
    <row r="240" spans="1:14">
      <c r="A240" s="520"/>
      <c r="B240" s="521"/>
      <c r="C240" s="521"/>
      <c r="D240" s="521"/>
      <c r="E240" s="521"/>
      <c r="F240" s="521"/>
      <c r="G240" s="521"/>
      <c r="H240" s="521"/>
      <c r="I240" s="521"/>
      <c r="J240" s="521"/>
      <c r="K240" s="521"/>
      <c r="L240" s="521"/>
      <c r="M240" s="522"/>
      <c r="N240" s="302"/>
    </row>
    <row r="241" spans="1:15" s="420" customFormat="1" ht="18" customHeight="1">
      <c r="A241" s="384" t="s">
        <v>867</v>
      </c>
      <c r="B241" s="563" t="s">
        <v>868</v>
      </c>
      <c r="C241" s="564"/>
      <c r="D241" s="564"/>
      <c r="E241" s="565"/>
      <c r="F241" s="385">
        <f>SUM(F242:F245)-0.01</f>
        <v>55994.050984000001</v>
      </c>
      <c r="G241" s="386"/>
      <c r="H241" s="387"/>
      <c r="I241" s="388"/>
      <c r="J241" s="417"/>
      <c r="K241" s="416">
        <f>K242</f>
        <v>3691.3823142000001</v>
      </c>
      <c r="L241" s="416">
        <f>SUM(L242:L245)</f>
        <v>1924.1196101999999</v>
      </c>
      <c r="M241" s="416">
        <f>SUM(M242:M245)</f>
        <v>5615.5019243999996</v>
      </c>
      <c r="N241" s="419"/>
    </row>
    <row r="242" spans="1:15" ht="38.25">
      <c r="A242" s="247" t="s">
        <v>252</v>
      </c>
      <c r="B242" s="250" t="s">
        <v>869</v>
      </c>
      <c r="C242" s="258" t="s">
        <v>8</v>
      </c>
      <c r="D242" s="248">
        <v>1953.3</v>
      </c>
      <c r="E242" s="248">
        <v>3.085305</v>
      </c>
      <c r="F242" s="252">
        <f>E242*D242</f>
        <v>6026.5262564999994</v>
      </c>
      <c r="G242" s="288">
        <v>1196.44</v>
      </c>
      <c r="H242" s="288">
        <v>623.64</v>
      </c>
      <c r="I242" s="377">
        <f>1196.44+H242</f>
        <v>1820.08</v>
      </c>
      <c r="J242" s="252"/>
      <c r="K242" s="359">
        <f>E242*G242</f>
        <v>3691.3823142000001</v>
      </c>
      <c r="L242" s="359">
        <f>E242*H242</f>
        <v>1924.1196101999999</v>
      </c>
      <c r="M242" s="359">
        <f>E242*I242</f>
        <v>5615.5019243999996</v>
      </c>
      <c r="N242" s="316"/>
    </row>
    <row r="243" spans="1:15" ht="51">
      <c r="A243" s="247" t="s">
        <v>254</v>
      </c>
      <c r="B243" s="250" t="s">
        <v>870</v>
      </c>
      <c r="C243" s="258" t="s">
        <v>8</v>
      </c>
      <c r="D243" s="248">
        <v>1702.5</v>
      </c>
      <c r="E243" s="248">
        <v>16.759554999999999</v>
      </c>
      <c r="F243" s="252">
        <f>E243*D243</f>
        <v>28533.142387499996</v>
      </c>
      <c r="G243" s="288"/>
      <c r="H243" s="353"/>
      <c r="I243" s="260"/>
      <c r="J243" s="252"/>
      <c r="K243" s="276"/>
      <c r="L243" s="276"/>
      <c r="M243" s="276"/>
      <c r="N243" s="302"/>
    </row>
    <row r="244" spans="1:15" ht="38.25">
      <c r="A244" s="247" t="s">
        <v>256</v>
      </c>
      <c r="B244" s="250" t="s">
        <v>871</v>
      </c>
      <c r="C244" s="258" t="s">
        <v>8</v>
      </c>
      <c r="D244" s="248">
        <v>250.8</v>
      </c>
      <c r="E244" s="248">
        <v>70.3</v>
      </c>
      <c r="F244" s="252">
        <f>E244*D244-1.12</f>
        <v>17630.120000000003</v>
      </c>
      <c r="G244" s="288"/>
      <c r="H244" s="353"/>
      <c r="I244" s="260"/>
      <c r="J244" s="252"/>
      <c r="K244" s="276"/>
      <c r="L244" s="276"/>
      <c r="M244" s="276"/>
      <c r="N244" s="302"/>
    </row>
    <row r="245" spans="1:15" ht="51">
      <c r="A245" s="247" t="s">
        <v>258</v>
      </c>
      <c r="B245" s="250" t="s">
        <v>872</v>
      </c>
      <c r="C245" s="258" t="s">
        <v>8</v>
      </c>
      <c r="D245" s="248">
        <v>250.8</v>
      </c>
      <c r="E245" s="248">
        <v>15.16855</v>
      </c>
      <c r="F245" s="252">
        <f>E245*D245</f>
        <v>3804.27234</v>
      </c>
      <c r="G245" s="288"/>
      <c r="H245" s="353"/>
      <c r="I245" s="260"/>
      <c r="J245" s="252"/>
      <c r="K245" s="276"/>
      <c r="L245" s="276"/>
      <c r="M245" s="276"/>
      <c r="N245" s="302"/>
    </row>
    <row r="246" spans="1:15">
      <c r="A246" s="520"/>
      <c r="B246" s="521"/>
      <c r="C246" s="521"/>
      <c r="D246" s="521"/>
      <c r="E246" s="521"/>
      <c r="F246" s="521"/>
      <c r="G246" s="521"/>
      <c r="H246" s="521"/>
      <c r="I246" s="521"/>
      <c r="J246" s="521"/>
      <c r="K246" s="521"/>
      <c r="L246" s="521"/>
      <c r="M246" s="522"/>
      <c r="N246" s="302"/>
    </row>
    <row r="247" spans="1:15" s="383" customFormat="1" ht="21.75" customHeight="1">
      <c r="A247" s="384" t="s">
        <v>538</v>
      </c>
      <c r="B247" s="563" t="s">
        <v>547</v>
      </c>
      <c r="C247" s="564"/>
      <c r="D247" s="564"/>
      <c r="E247" s="565"/>
      <c r="F247" s="411">
        <f>SUM(F248:F254)</f>
        <v>118577.87744970001</v>
      </c>
      <c r="G247" s="391"/>
      <c r="H247" s="391"/>
      <c r="I247" s="391"/>
      <c r="J247" s="412"/>
      <c r="K247" s="413">
        <f>SUM(K248:K253)</f>
        <v>2327.1786103999998</v>
      </c>
      <c r="L247" s="413"/>
      <c r="M247" s="416">
        <f>SUM(M248:M253)</f>
        <v>2327.1786103999998</v>
      </c>
      <c r="N247" s="376"/>
    </row>
    <row r="248" spans="1:15" ht="25.5">
      <c r="A248" s="247" t="s">
        <v>263</v>
      </c>
      <c r="B248" s="250" t="s">
        <v>873</v>
      </c>
      <c r="C248" s="258" t="s">
        <v>8</v>
      </c>
      <c r="D248" s="248">
        <v>470.34</v>
      </c>
      <c r="E248" s="248">
        <v>23.381679999999999</v>
      </c>
      <c r="F248" s="252">
        <f t="shared" ref="F248:F253" si="15">E248*D248</f>
        <v>10997.3393712</v>
      </c>
      <c r="G248" s="288">
        <v>99.53</v>
      </c>
      <c r="H248" s="358"/>
      <c r="I248" s="377">
        <v>99.53</v>
      </c>
      <c r="J248" s="252"/>
      <c r="K248" s="451">
        <f>E248*G248</f>
        <v>2327.1786103999998</v>
      </c>
      <c r="L248" s="451"/>
      <c r="M248" s="451">
        <f>E248*I248</f>
        <v>2327.1786103999998</v>
      </c>
      <c r="N248" s="302"/>
      <c r="O248" s="445"/>
    </row>
    <row r="249" spans="1:15" ht="25.5">
      <c r="A249" s="247" t="s">
        <v>265</v>
      </c>
      <c r="B249" s="250" t="s">
        <v>874</v>
      </c>
      <c r="C249" s="258" t="s">
        <v>8</v>
      </c>
      <c r="D249" s="248">
        <v>383.54</v>
      </c>
      <c r="E249" s="248">
        <v>117.28825000000001</v>
      </c>
      <c r="F249" s="252">
        <f t="shared" si="15"/>
        <v>44984.735405000007</v>
      </c>
      <c r="G249" s="288"/>
      <c r="H249" s="353"/>
      <c r="I249" s="260"/>
      <c r="J249" s="252"/>
      <c r="K249" s="276"/>
      <c r="L249" s="276"/>
      <c r="M249" s="276"/>
      <c r="N249" s="302"/>
    </row>
    <row r="250" spans="1:15" ht="25.5">
      <c r="A250" s="247" t="s">
        <v>267</v>
      </c>
      <c r="B250" s="250" t="s">
        <v>875</v>
      </c>
      <c r="C250" s="258" t="s">
        <v>8</v>
      </c>
      <c r="D250" s="248">
        <v>413.3</v>
      </c>
      <c r="E250" s="248">
        <v>54.58</v>
      </c>
      <c r="F250" s="252">
        <v>22559.08</v>
      </c>
      <c r="G250" s="288"/>
      <c r="H250" s="353"/>
      <c r="I250" s="260"/>
      <c r="J250" s="252"/>
      <c r="K250" s="276"/>
      <c r="L250" s="276"/>
      <c r="M250" s="276"/>
      <c r="N250" s="302"/>
    </row>
    <row r="251" spans="1:15" ht="38.25">
      <c r="A251" s="247" t="s">
        <v>269</v>
      </c>
      <c r="B251" s="250" t="s">
        <v>876</v>
      </c>
      <c r="C251" s="258" t="s">
        <v>23</v>
      </c>
      <c r="D251" s="248">
        <v>57.08</v>
      </c>
      <c r="E251" s="248">
        <v>590.2867</v>
      </c>
      <c r="F251" s="252">
        <f t="shared" si="15"/>
        <v>33693.564835999998</v>
      </c>
      <c r="G251" s="288"/>
      <c r="H251" s="353"/>
      <c r="I251" s="260"/>
      <c r="J251" s="252"/>
      <c r="K251" s="276"/>
      <c r="L251" s="276"/>
      <c r="M251" s="276"/>
      <c r="N251" s="302"/>
    </row>
    <row r="252" spans="1:15">
      <c r="A252" s="247" t="s">
        <v>271</v>
      </c>
      <c r="B252" s="250" t="s">
        <v>877</v>
      </c>
      <c r="C252" s="258" t="s">
        <v>8</v>
      </c>
      <c r="D252" s="248">
        <v>5.71</v>
      </c>
      <c r="E252" s="248">
        <v>54.9328</v>
      </c>
      <c r="F252" s="252">
        <f t="shared" si="15"/>
        <v>313.66628800000001</v>
      </c>
      <c r="G252" s="288"/>
      <c r="H252" s="353"/>
      <c r="I252" s="260"/>
      <c r="J252" s="252"/>
      <c r="K252" s="276"/>
      <c r="L252" s="276"/>
      <c r="M252" s="276"/>
      <c r="N252" s="302"/>
    </row>
    <row r="253" spans="1:15" ht="51">
      <c r="A253" s="247" t="s">
        <v>273</v>
      </c>
      <c r="B253" s="250" t="s">
        <v>878</v>
      </c>
      <c r="C253" s="258" t="s">
        <v>105</v>
      </c>
      <c r="D253" s="248">
        <v>131.97</v>
      </c>
      <c r="E253" s="248">
        <v>45.68835</v>
      </c>
      <c r="F253" s="252">
        <f t="shared" si="15"/>
        <v>6029.4915494999996</v>
      </c>
      <c r="G253" s="288"/>
      <c r="H253" s="353"/>
      <c r="I253" s="260"/>
      <c r="J253" s="252"/>
      <c r="K253" s="276"/>
      <c r="L253" s="276"/>
      <c r="M253" s="276"/>
      <c r="N253" s="302"/>
    </row>
    <row r="254" spans="1:15">
      <c r="A254" s="520"/>
      <c r="B254" s="521"/>
      <c r="C254" s="521"/>
      <c r="D254" s="521"/>
      <c r="E254" s="521"/>
      <c r="F254" s="521"/>
      <c r="G254" s="521"/>
      <c r="H254" s="521"/>
      <c r="I254" s="521"/>
      <c r="J254" s="521"/>
      <c r="K254" s="521"/>
      <c r="L254" s="521"/>
      <c r="M254" s="522"/>
      <c r="N254" s="302"/>
    </row>
    <row r="255" spans="1:15" s="420" customFormat="1" ht="18" customHeight="1">
      <c r="A255" s="384" t="s">
        <v>879</v>
      </c>
      <c r="B255" s="563" t="s">
        <v>108</v>
      </c>
      <c r="C255" s="564"/>
      <c r="D255" s="564"/>
      <c r="E255" s="565"/>
      <c r="F255" s="385">
        <f>SUM(F256,F260)</f>
        <v>42751.92181</v>
      </c>
      <c r="G255" s="386"/>
      <c r="H255" s="387"/>
      <c r="I255" s="388"/>
      <c r="J255" s="417"/>
      <c r="K255" s="417"/>
      <c r="L255" s="417"/>
      <c r="M255" s="418"/>
      <c r="N255" s="419"/>
    </row>
    <row r="256" spans="1:15">
      <c r="A256" s="437" t="s">
        <v>324</v>
      </c>
      <c r="B256" s="438" t="s">
        <v>880</v>
      </c>
      <c r="C256" s="437"/>
      <c r="D256" s="439"/>
      <c r="E256" s="440"/>
      <c r="F256" s="351">
        <f>SUM(F257:F259)+0.01</f>
        <v>40629.661849999997</v>
      </c>
      <c r="G256" s="288"/>
      <c r="H256" s="292"/>
      <c r="I256" s="260"/>
      <c r="J256" s="276"/>
      <c r="K256" s="276"/>
      <c r="L256" s="276"/>
      <c r="M256" s="239"/>
      <c r="N256" s="302"/>
    </row>
    <row r="257" spans="1:15" ht="25.5">
      <c r="A257" s="247" t="s">
        <v>881</v>
      </c>
      <c r="B257" s="250" t="s">
        <v>882</v>
      </c>
      <c r="C257" s="247" t="s">
        <v>8</v>
      </c>
      <c r="D257" s="248">
        <v>1702.5</v>
      </c>
      <c r="E257" s="248">
        <v>2.2575400000000001</v>
      </c>
      <c r="F257" s="252">
        <f t="shared" ref="F257:F262" si="16">E257*D257</f>
        <v>3843.4618500000001</v>
      </c>
      <c r="G257" s="288"/>
      <c r="H257" s="353"/>
      <c r="I257" s="260"/>
      <c r="J257" s="252"/>
      <c r="K257" s="276"/>
      <c r="L257" s="276"/>
      <c r="M257" s="239"/>
      <c r="N257" s="302"/>
    </row>
    <row r="258" spans="1:15" ht="25.5">
      <c r="A258" s="247" t="s">
        <v>883</v>
      </c>
      <c r="B258" s="250" t="s">
        <v>884</v>
      </c>
      <c r="C258" s="258" t="s">
        <v>8</v>
      </c>
      <c r="D258" s="248">
        <v>1702.5</v>
      </c>
      <c r="E258" s="248">
        <v>10.9</v>
      </c>
      <c r="F258" s="252">
        <v>18552.03</v>
      </c>
      <c r="G258" s="288"/>
      <c r="H258" s="353"/>
      <c r="I258" s="260"/>
      <c r="J258" s="252"/>
      <c r="K258" s="276"/>
      <c r="L258" s="276"/>
      <c r="M258" s="239"/>
      <c r="N258" s="302"/>
    </row>
    <row r="259" spans="1:15" ht="25.5">
      <c r="A259" s="247" t="s">
        <v>885</v>
      </c>
      <c r="B259" s="250" t="s">
        <v>886</v>
      </c>
      <c r="C259" s="258" t="s">
        <v>8</v>
      </c>
      <c r="D259" s="248">
        <v>1702.5</v>
      </c>
      <c r="E259" s="248">
        <v>10.71</v>
      </c>
      <c r="F259" s="252">
        <v>18234.16</v>
      </c>
      <c r="G259" s="288"/>
      <c r="H259" s="353"/>
      <c r="I259" s="260"/>
      <c r="J259" s="252"/>
      <c r="K259" s="276"/>
      <c r="L259" s="276"/>
      <c r="M259" s="239"/>
      <c r="N259" s="302"/>
    </row>
    <row r="260" spans="1:15">
      <c r="A260" s="437" t="s">
        <v>326</v>
      </c>
      <c r="B260" s="438" t="s">
        <v>887</v>
      </c>
      <c r="C260" s="437"/>
      <c r="D260" s="439"/>
      <c r="E260" s="440"/>
      <c r="F260" s="350">
        <f>SUM(F261:F262)</f>
        <v>2122.2599600000003</v>
      </c>
      <c r="G260" s="288"/>
      <c r="H260" s="353"/>
      <c r="I260" s="260"/>
      <c r="J260" s="252"/>
      <c r="K260" s="276"/>
      <c r="L260" s="276"/>
      <c r="M260" s="239"/>
      <c r="N260" s="302"/>
    </row>
    <row r="261" spans="1:15">
      <c r="A261" s="247" t="s">
        <v>888</v>
      </c>
      <c r="B261" s="250" t="s">
        <v>889</v>
      </c>
      <c r="C261" s="258" t="s">
        <v>8</v>
      </c>
      <c r="D261" s="248">
        <v>6.12</v>
      </c>
      <c r="E261" s="248">
        <v>21.736999999999998</v>
      </c>
      <c r="F261" s="252">
        <f t="shared" si="16"/>
        <v>133.03044</v>
      </c>
      <c r="G261" s="288"/>
      <c r="H261" s="353"/>
      <c r="I261" s="260"/>
      <c r="J261" s="252"/>
      <c r="K261" s="276"/>
      <c r="L261" s="276"/>
      <c r="M261" s="239"/>
      <c r="N261" s="302"/>
    </row>
    <row r="262" spans="1:15">
      <c r="A262" s="247" t="s">
        <v>888</v>
      </c>
      <c r="B262" s="250" t="s">
        <v>890</v>
      </c>
      <c r="C262" s="258" t="s">
        <v>8</v>
      </c>
      <c r="D262" s="248">
        <v>136.16</v>
      </c>
      <c r="E262" s="248">
        <v>14.609500000000001</v>
      </c>
      <c r="F262" s="252">
        <f t="shared" si="16"/>
        <v>1989.2295200000001</v>
      </c>
      <c r="G262" s="288"/>
      <c r="H262" s="353"/>
      <c r="I262" s="260"/>
      <c r="J262" s="252"/>
      <c r="K262" s="276"/>
      <c r="L262" s="276"/>
      <c r="M262" s="239"/>
      <c r="N262" s="302"/>
    </row>
    <row r="263" spans="1:15">
      <c r="A263" s="520"/>
      <c r="B263" s="521"/>
      <c r="C263" s="521"/>
      <c r="D263" s="521"/>
      <c r="E263" s="521"/>
      <c r="F263" s="521"/>
      <c r="G263" s="521"/>
      <c r="H263" s="521"/>
      <c r="I263" s="521"/>
      <c r="J263" s="521"/>
      <c r="K263" s="521"/>
      <c r="L263" s="521"/>
      <c r="M263" s="522"/>
      <c r="N263" s="302"/>
    </row>
    <row r="264" spans="1:15" s="420" customFormat="1" ht="18" customHeight="1">
      <c r="A264" s="384" t="s">
        <v>891</v>
      </c>
      <c r="B264" s="563" t="s">
        <v>892</v>
      </c>
      <c r="C264" s="564"/>
      <c r="D264" s="564"/>
      <c r="E264" s="565"/>
      <c r="F264" s="385">
        <f>SUM(F265:F267)+0.01</f>
        <v>2050.7917054999998</v>
      </c>
      <c r="G264" s="386"/>
      <c r="H264" s="387"/>
      <c r="I264" s="388"/>
      <c r="J264" s="417"/>
      <c r="K264" s="417"/>
      <c r="L264" s="417"/>
      <c r="M264" s="418"/>
      <c r="N264" s="419"/>
    </row>
    <row r="265" spans="1:15">
      <c r="A265" s="247" t="s">
        <v>337</v>
      </c>
      <c r="B265" s="250" t="s">
        <v>893</v>
      </c>
      <c r="C265" s="258" t="s">
        <v>23</v>
      </c>
      <c r="D265" s="235">
        <v>27.81</v>
      </c>
      <c r="E265" s="248">
        <v>20.683299999999999</v>
      </c>
      <c r="F265" s="252">
        <f>E265*D265</f>
        <v>575.20257299999992</v>
      </c>
      <c r="G265" s="288"/>
      <c r="H265" s="353"/>
      <c r="I265" s="260"/>
      <c r="J265" s="252"/>
      <c r="K265" s="276"/>
      <c r="L265" s="276"/>
      <c r="M265" s="239"/>
      <c r="N265" s="302"/>
    </row>
    <row r="266" spans="1:15" ht="25.5">
      <c r="A266" s="247" t="s">
        <v>339</v>
      </c>
      <c r="B266" s="250" t="s">
        <v>894</v>
      </c>
      <c r="C266" s="258" t="s">
        <v>78</v>
      </c>
      <c r="D266" s="235">
        <v>2</v>
      </c>
      <c r="E266" s="248">
        <v>208.13489999999999</v>
      </c>
      <c r="F266" s="252">
        <f>E266*D266</f>
        <v>416.26979999999998</v>
      </c>
      <c r="G266" s="288"/>
      <c r="H266" s="353"/>
      <c r="I266" s="260"/>
      <c r="J266" s="252"/>
      <c r="K266" s="276"/>
      <c r="L266" s="276"/>
      <c r="M266" s="239"/>
      <c r="N266" s="302"/>
    </row>
    <row r="267" spans="1:15">
      <c r="A267" s="247" t="s">
        <v>341</v>
      </c>
      <c r="B267" s="250" t="s">
        <v>895</v>
      </c>
      <c r="C267" s="258" t="s">
        <v>23</v>
      </c>
      <c r="D267" s="235">
        <v>502.75</v>
      </c>
      <c r="E267" s="248">
        <v>2.10703</v>
      </c>
      <c r="F267" s="252">
        <f>E267*D267</f>
        <v>1059.3093325</v>
      </c>
      <c r="G267" s="288"/>
      <c r="H267" s="353"/>
      <c r="I267" s="260"/>
      <c r="J267" s="252"/>
      <c r="K267" s="276"/>
      <c r="L267" s="276"/>
      <c r="M267" s="239"/>
      <c r="N267" s="302"/>
    </row>
    <row r="268" spans="1:15" ht="24.95" customHeight="1">
      <c r="A268" s="583" t="s">
        <v>974</v>
      </c>
      <c r="B268" s="584"/>
      <c r="C268" s="584"/>
      <c r="D268" s="584"/>
      <c r="E268" s="584"/>
      <c r="F268" s="584"/>
      <c r="G268" s="584"/>
      <c r="H268" s="584"/>
      <c r="I268" s="584"/>
      <c r="J268" s="584"/>
      <c r="K268" s="585"/>
      <c r="L268" s="448">
        <f>SUM(L264,L255,L247,L241,L234,L194,L157,L119,L105,L101,L89,L86,L51,L26,L22,L16)</f>
        <v>39862.375447300001</v>
      </c>
      <c r="M268" s="449">
        <f>SUM(M264,M255,M247,M241,M234,M194,M157,M119,M105,M101,M89,M86,M51,M26,M22,M16)</f>
        <v>240399.25047030003</v>
      </c>
      <c r="N268" s="453"/>
      <c r="O268" s="444"/>
    </row>
    <row r="269" spans="1:15">
      <c r="L269" s="263"/>
    </row>
    <row r="273" spans="8:13" ht="30" customHeight="1">
      <c r="H273" s="454"/>
      <c r="M273" s="452"/>
    </row>
    <row r="276" spans="8:13" ht="24.75" customHeight="1">
      <c r="H276" s="454"/>
    </row>
  </sheetData>
  <mergeCells count="59">
    <mergeCell ref="A268:K268"/>
    <mergeCell ref="A2:B2"/>
    <mergeCell ref="A3:B3"/>
    <mergeCell ref="A4:B4"/>
    <mergeCell ref="A6:J6"/>
    <mergeCell ref="A7:E7"/>
    <mergeCell ref="H7:K7"/>
    <mergeCell ref="C14:F14"/>
    <mergeCell ref="G14:I14"/>
    <mergeCell ref="K14:M14"/>
    <mergeCell ref="A10:E10"/>
    <mergeCell ref="L10:M10"/>
    <mergeCell ref="A11:E11"/>
    <mergeCell ref="F11:K11"/>
    <mergeCell ref="L11:M11"/>
    <mergeCell ref="A12:E12"/>
    <mergeCell ref="L7:M7"/>
    <mergeCell ref="A8:E8"/>
    <mergeCell ref="L8:M8"/>
    <mergeCell ref="A9:E9"/>
    <mergeCell ref="L9:M9"/>
    <mergeCell ref="H9:K9"/>
    <mergeCell ref="H8:K8"/>
    <mergeCell ref="F12:K12"/>
    <mergeCell ref="L12:M12"/>
    <mergeCell ref="A13:K13"/>
    <mergeCell ref="L13:M13"/>
    <mergeCell ref="H10:K10"/>
    <mergeCell ref="A100:M100"/>
    <mergeCell ref="B16:E16"/>
    <mergeCell ref="A21:M21"/>
    <mergeCell ref="B22:E22"/>
    <mergeCell ref="A25:M25"/>
    <mergeCell ref="B26:E26"/>
    <mergeCell ref="A50:M50"/>
    <mergeCell ref="B51:E51"/>
    <mergeCell ref="A85:M85"/>
    <mergeCell ref="B86:E86"/>
    <mergeCell ref="A88:M88"/>
    <mergeCell ref="B89:E89"/>
    <mergeCell ref="A240:M240"/>
    <mergeCell ref="B101:E101"/>
    <mergeCell ref="A104:M104"/>
    <mergeCell ref="B105:E105"/>
    <mergeCell ref="A118:M118"/>
    <mergeCell ref="B119:E119"/>
    <mergeCell ref="A156:M156"/>
    <mergeCell ref="B157:E157"/>
    <mergeCell ref="A193:M193"/>
    <mergeCell ref="B194:E194"/>
    <mergeCell ref="A233:M233"/>
    <mergeCell ref="B234:E234"/>
    <mergeCell ref="B264:E264"/>
    <mergeCell ref="B241:E241"/>
    <mergeCell ref="A246:M246"/>
    <mergeCell ref="B247:E247"/>
    <mergeCell ref="A254:M254"/>
    <mergeCell ref="B255:E255"/>
    <mergeCell ref="A263:M263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rowBreaks count="5" manualBreakCount="5">
    <brk id="36" max="12" man="1"/>
    <brk id="193" max="12" man="1"/>
    <brk id="210" max="12" man="1"/>
    <brk id="229" max="12" man="1"/>
    <brk id="250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view="pageBreakPreview" topLeftCell="A178" zoomScale="130" zoomScaleSheetLayoutView="130" workbookViewId="0">
      <selection activeCell="T25" sqref="T25"/>
    </sheetView>
  </sheetViews>
  <sheetFormatPr defaultColWidth="15.7109375" defaultRowHeight="12.75"/>
  <cols>
    <col min="1" max="1" width="6.140625" style="231" bestFit="1" customWidth="1"/>
    <col min="2" max="2" width="36" style="7" customWidth="1"/>
    <col min="3" max="17" width="7.42578125" style="7" customWidth="1"/>
    <col min="18" max="18" width="9.140625" style="234" bestFit="1" customWidth="1"/>
    <col min="19" max="19" width="9.5703125" style="234" customWidth="1"/>
    <col min="20" max="16384" width="15.7109375" style="7"/>
  </cols>
  <sheetData>
    <row r="1" spans="1:20" s="228" customFormat="1" ht="14.25" customHeight="1">
      <c r="A1" s="229"/>
      <c r="R1" s="233"/>
      <c r="S1" s="233"/>
    </row>
    <row r="2" spans="1:20" s="228" customFormat="1" ht="14.25" customHeight="1">
      <c r="A2" s="598" t="s">
        <v>552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</row>
    <row r="3" spans="1:20" s="228" customFormat="1" ht="14.25" customHeight="1">
      <c r="A3" s="598" t="s">
        <v>556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</row>
    <row r="4" spans="1:20" s="228" customFormat="1" ht="14.25" customHeight="1">
      <c r="A4" s="598" t="s">
        <v>898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</row>
    <row r="5" spans="1:20">
      <c r="A5" s="598"/>
      <c r="B5" s="598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234"/>
    </row>
    <row r="6" spans="1:20" s="228" customFormat="1" ht="15">
      <c r="A6" s="599" t="s">
        <v>553</v>
      </c>
      <c r="B6" s="599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295"/>
    </row>
    <row r="7" spans="1:20" s="233" customFormat="1" ht="14.25">
      <c r="A7" s="330" t="s">
        <v>367</v>
      </c>
      <c r="B7" s="595" t="s">
        <v>554</v>
      </c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7"/>
      <c r="R7" s="332" t="s">
        <v>364</v>
      </c>
      <c r="S7" s="331" t="s">
        <v>555</v>
      </c>
    </row>
    <row r="8" spans="1:20">
      <c r="A8" s="232" t="s">
        <v>541</v>
      </c>
      <c r="B8" s="600" t="s">
        <v>5</v>
      </c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296"/>
      <c r="S8" s="296"/>
    </row>
    <row r="9" spans="1:20" ht="12.75" customHeight="1">
      <c r="A9" s="328" t="s">
        <v>6</v>
      </c>
      <c r="B9" s="601" t="s">
        <v>936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601"/>
      <c r="O9" s="601"/>
      <c r="P9" s="601"/>
      <c r="Q9" s="601"/>
      <c r="R9" s="324">
        <v>134</v>
      </c>
      <c r="S9" s="325" t="s">
        <v>105</v>
      </c>
    </row>
    <row r="10" spans="1:20">
      <c r="A10" s="230"/>
      <c r="B10" s="591" t="s">
        <v>899</v>
      </c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309">
        <v>134</v>
      </c>
      <c r="S10" s="234" t="s">
        <v>105</v>
      </c>
      <c r="T10" s="305"/>
    </row>
    <row r="12" spans="1:20" ht="12.75" customHeight="1">
      <c r="A12" s="328" t="s">
        <v>11</v>
      </c>
      <c r="B12" s="593" t="s">
        <v>561</v>
      </c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324">
        <v>10</v>
      </c>
      <c r="S12" s="325" t="s">
        <v>8</v>
      </c>
    </row>
    <row r="13" spans="1:20">
      <c r="A13" s="230"/>
      <c r="B13" s="591" t="s">
        <v>900</v>
      </c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309">
        <v>10</v>
      </c>
      <c r="S13" s="234" t="s">
        <v>8</v>
      </c>
    </row>
    <row r="14" spans="1:20">
      <c r="A14" s="230"/>
    </row>
    <row r="15" spans="1:20" ht="12.75" customHeight="1">
      <c r="A15" s="232" t="str">
        <f>'BM 01'!A22</f>
        <v>2.0</v>
      </c>
      <c r="B15" s="590" t="str">
        <f>'BM 01'!B22</f>
        <v>MOVIMENTO DE TERRA</v>
      </c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296"/>
      <c r="S15" s="296"/>
    </row>
    <row r="16" spans="1:20" ht="12.75" customHeight="1">
      <c r="A16" s="328" t="str">
        <f>'BM 01'!A23</f>
        <v>2.1</v>
      </c>
      <c r="B16" s="593" t="str">
        <f>'BM 01'!B23</f>
        <v>Escavação manual de valas com profundidade menor ou igual a 1,30m. AF_03/2016</v>
      </c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324">
        <f>R22</f>
        <v>24.988000000000007</v>
      </c>
      <c r="S16" s="325" t="s">
        <v>23</v>
      </c>
    </row>
    <row r="17" spans="1:20">
      <c r="A17" s="230"/>
      <c r="B17" s="591"/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309"/>
    </row>
    <row r="18" spans="1:20" ht="24" customHeight="1">
      <c r="A18" s="230"/>
      <c r="B18" s="591" t="s">
        <v>908</v>
      </c>
      <c r="C18" s="591"/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309"/>
    </row>
    <row r="19" spans="1:20">
      <c r="A19" s="230"/>
      <c r="B19" s="591"/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309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>
      <c r="A20" s="230"/>
      <c r="B20" s="591" t="s">
        <v>909</v>
      </c>
      <c r="C20" s="591"/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309"/>
    </row>
    <row r="21" spans="1:20">
      <c r="A21" s="230"/>
      <c r="B21" s="591"/>
      <c r="C21" s="591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309"/>
    </row>
    <row r="22" spans="1:20">
      <c r="A22" s="230"/>
      <c r="B22" s="592" t="s">
        <v>910</v>
      </c>
      <c r="C22" s="592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333">
        <f>(312.35/2)*(0.4*0.4)</f>
        <v>24.988000000000007</v>
      </c>
      <c r="S22" s="326" t="s">
        <v>23</v>
      </c>
    </row>
    <row r="23" spans="1:20">
      <c r="A23" s="230"/>
      <c r="B23" s="591"/>
      <c r="C23" s="591"/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</row>
    <row r="24" spans="1:20" ht="12.75" customHeight="1">
      <c r="A24" s="232" t="s">
        <v>544</v>
      </c>
      <c r="B24" s="590" t="s">
        <v>563</v>
      </c>
      <c r="C24" s="590"/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296"/>
      <c r="S24" s="296"/>
    </row>
    <row r="25" spans="1:20" ht="12.75" customHeight="1">
      <c r="A25" s="232" t="s">
        <v>33</v>
      </c>
      <c r="B25" s="590" t="s">
        <v>564</v>
      </c>
      <c r="C25" s="590"/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296"/>
      <c r="S25" s="296"/>
    </row>
    <row r="26" spans="1:20" ht="12.75" customHeight="1">
      <c r="A26" s="328" t="s">
        <v>35</v>
      </c>
      <c r="B26" s="593" t="s">
        <v>918</v>
      </c>
      <c r="C26" s="593"/>
      <c r="D26" s="593"/>
      <c r="E26" s="593"/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325">
        <f>R27</f>
        <v>26.04</v>
      </c>
      <c r="S26" s="325" t="s">
        <v>23</v>
      </c>
    </row>
    <row r="27" spans="1:20">
      <c r="A27" s="230"/>
      <c r="B27" s="591" t="s">
        <v>907</v>
      </c>
      <c r="C27" s="591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234">
        <f>(52*0.8*0.7*0.6)+(14*0.8*0.7*0.6)+(7*0.8*0.7*0.6)+(4*0.9*0.7*0.6)</f>
        <v>26.04</v>
      </c>
      <c r="S27" s="234" t="s">
        <v>23</v>
      </c>
    </row>
    <row r="29" spans="1:20" ht="12.75" customHeight="1">
      <c r="A29" s="328" t="s">
        <v>37</v>
      </c>
      <c r="B29" s="593" t="s">
        <v>565</v>
      </c>
      <c r="C29" s="593"/>
      <c r="D29" s="593"/>
      <c r="E29" s="593"/>
      <c r="F29" s="593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593"/>
      <c r="R29" s="324">
        <v>43.4</v>
      </c>
      <c r="S29" s="325" t="s">
        <v>8</v>
      </c>
    </row>
    <row r="30" spans="1:20">
      <c r="A30" s="230"/>
      <c r="B30" s="591" t="s">
        <v>901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309">
        <v>43.4</v>
      </c>
      <c r="S30" s="234" t="s">
        <v>8</v>
      </c>
    </row>
    <row r="31" spans="1:20">
      <c r="A31" s="29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97"/>
      <c r="S31" s="297"/>
    </row>
    <row r="32" spans="1:20" ht="12.75" customHeight="1">
      <c r="A32" s="328" t="s">
        <v>39</v>
      </c>
      <c r="B32" s="593" t="s">
        <v>566</v>
      </c>
      <c r="C32" s="593"/>
      <c r="D32" s="593"/>
      <c r="E32" s="593"/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593"/>
      <c r="R32" s="325">
        <v>2.17</v>
      </c>
      <c r="S32" s="325" t="s">
        <v>23</v>
      </c>
    </row>
    <row r="33" spans="1:19">
      <c r="A33" s="230"/>
      <c r="B33" s="591" t="s">
        <v>902</v>
      </c>
      <c r="C33" s="591"/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234">
        <v>2.17</v>
      </c>
      <c r="S33" s="234" t="s">
        <v>23</v>
      </c>
    </row>
    <row r="34" spans="1:19">
      <c r="A34" s="294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97"/>
      <c r="S34" s="297"/>
    </row>
    <row r="35" spans="1:19" ht="12.75" customHeight="1">
      <c r="A35" s="328" t="s">
        <v>567</v>
      </c>
      <c r="B35" s="593" t="s">
        <v>969</v>
      </c>
      <c r="C35" s="593"/>
      <c r="D35" s="593"/>
      <c r="E35" s="593"/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325">
        <f>SUM(R38:R44)</f>
        <v>62.849999999999987</v>
      </c>
      <c r="S35" s="325" t="s">
        <v>8</v>
      </c>
    </row>
    <row r="36" spans="1:19">
      <c r="A36" s="294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7"/>
      <c r="S36" s="297"/>
    </row>
    <row r="37" spans="1:19">
      <c r="A37" s="230"/>
      <c r="B37" s="591" t="s">
        <v>911</v>
      </c>
      <c r="C37" s="591"/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</row>
    <row r="38" spans="1:19">
      <c r="A38" s="230"/>
      <c r="B38" s="591" t="s">
        <v>912</v>
      </c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309">
        <f>52*(0.6*2+0.7*2+0.05*2)*0.25</f>
        <v>35.099999999999994</v>
      </c>
    </row>
    <row r="39" spans="1:19">
      <c r="A39" s="230"/>
      <c r="B39" s="591" t="s">
        <v>913</v>
      </c>
      <c r="C39" s="591"/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</row>
    <row r="40" spans="1:19">
      <c r="A40" s="230"/>
      <c r="B40" s="591" t="s">
        <v>914</v>
      </c>
      <c r="C40" s="591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309">
        <f>13*(0.6*2+0.7*2+0.05*2)*0.35</f>
        <v>12.284999999999997</v>
      </c>
    </row>
    <row r="41" spans="1:19">
      <c r="A41" s="230"/>
      <c r="B41" s="591" t="s">
        <v>915</v>
      </c>
      <c r="C41" s="591"/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</row>
    <row r="42" spans="1:19">
      <c r="A42" s="230"/>
      <c r="B42" s="591" t="s">
        <v>916</v>
      </c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309">
        <f>7*(0.6*2+0.7*2+0.05*2)*0.45</f>
        <v>8.504999999999999</v>
      </c>
    </row>
    <row r="43" spans="1:19">
      <c r="A43" s="230"/>
      <c r="B43" s="591" t="s">
        <v>967</v>
      </c>
      <c r="C43" s="591"/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</row>
    <row r="44" spans="1:19">
      <c r="A44" s="230"/>
      <c r="B44" s="591" t="s">
        <v>917</v>
      </c>
      <c r="C44" s="591"/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234">
        <f>4*(0.6*2+0.8*2+0.05*2)*0.6</f>
        <v>6.96</v>
      </c>
    </row>
    <row r="45" spans="1:19">
      <c r="A45" s="230"/>
      <c r="B45" s="591"/>
      <c r="C45" s="591"/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</row>
    <row r="46" spans="1:19" ht="12.75" customHeight="1">
      <c r="A46" s="328" t="s">
        <v>569</v>
      </c>
      <c r="B46" s="593" t="s">
        <v>929</v>
      </c>
      <c r="C46" s="593"/>
      <c r="D46" s="593"/>
      <c r="E46" s="593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324">
        <v>127.6</v>
      </c>
      <c r="S46" s="325" t="s">
        <v>570</v>
      </c>
    </row>
    <row r="47" spans="1:19">
      <c r="A47" s="230"/>
      <c r="B47" s="591" t="s">
        <v>903</v>
      </c>
      <c r="C47" s="591"/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309"/>
    </row>
    <row r="48" spans="1:19">
      <c r="A48" s="230"/>
      <c r="B48" s="591"/>
      <c r="C48" s="591"/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309"/>
    </row>
    <row r="49" spans="1:19" ht="12.75" customHeight="1">
      <c r="A49" s="328" t="s">
        <v>571</v>
      </c>
      <c r="B49" s="593" t="s">
        <v>930</v>
      </c>
      <c r="C49" s="593"/>
      <c r="D49" s="593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324">
        <v>285.8</v>
      </c>
      <c r="S49" s="325" t="s">
        <v>570</v>
      </c>
    </row>
    <row r="50" spans="1:19">
      <c r="A50" s="294"/>
      <c r="B50" s="298" t="s">
        <v>903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14"/>
      <c r="S50" s="297"/>
    </row>
    <row r="51" spans="1:19">
      <c r="A51" s="294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314"/>
      <c r="S51" s="297"/>
    </row>
    <row r="52" spans="1:19" ht="12.75" customHeight="1">
      <c r="A52" s="328" t="s">
        <v>572</v>
      </c>
      <c r="B52" s="593" t="s">
        <v>931</v>
      </c>
      <c r="C52" s="593"/>
      <c r="D52" s="593"/>
      <c r="E52" s="593"/>
      <c r="F52" s="593"/>
      <c r="G52" s="593"/>
      <c r="H52" s="593"/>
      <c r="I52" s="593"/>
      <c r="J52" s="593"/>
      <c r="K52" s="593"/>
      <c r="L52" s="593"/>
      <c r="M52" s="593"/>
      <c r="N52" s="593"/>
      <c r="O52" s="593"/>
      <c r="P52" s="593"/>
      <c r="Q52" s="593"/>
      <c r="R52" s="324">
        <v>149.30000000000001</v>
      </c>
      <c r="S52" s="325" t="s">
        <v>570</v>
      </c>
    </row>
    <row r="53" spans="1:19">
      <c r="A53" s="294"/>
      <c r="B53" s="298" t="s">
        <v>903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314"/>
      <c r="S53" s="297"/>
    </row>
    <row r="54" spans="1:19">
      <c r="A54" s="294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314"/>
      <c r="S54" s="297"/>
    </row>
    <row r="55" spans="1:19" ht="12.75" customHeight="1">
      <c r="A55" s="328" t="s">
        <v>573</v>
      </c>
      <c r="B55" s="593" t="s">
        <v>932</v>
      </c>
      <c r="C55" s="593"/>
      <c r="D55" s="593"/>
      <c r="E55" s="593"/>
      <c r="F55" s="593"/>
      <c r="G55" s="593"/>
      <c r="H55" s="593"/>
      <c r="I55" s="593"/>
      <c r="J55" s="593"/>
      <c r="K55" s="593"/>
      <c r="L55" s="593"/>
      <c r="M55" s="593"/>
      <c r="N55" s="593"/>
      <c r="O55" s="593"/>
      <c r="P55" s="593"/>
      <c r="Q55" s="593"/>
      <c r="R55" s="324">
        <v>396.5</v>
      </c>
      <c r="S55" s="325" t="s">
        <v>570</v>
      </c>
    </row>
    <row r="56" spans="1:19">
      <c r="A56" s="294"/>
      <c r="B56" s="298" t="s">
        <v>903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314"/>
      <c r="S56" s="297"/>
    </row>
    <row r="57" spans="1:19">
      <c r="A57" s="294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314"/>
      <c r="S57" s="297"/>
    </row>
    <row r="58" spans="1:19" ht="12.75" customHeight="1">
      <c r="A58" s="328" t="s">
        <v>574</v>
      </c>
      <c r="B58" s="593" t="s">
        <v>933</v>
      </c>
      <c r="C58" s="593"/>
      <c r="D58" s="593"/>
      <c r="E58" s="593"/>
      <c r="F58" s="593"/>
      <c r="G58" s="593"/>
      <c r="H58" s="593"/>
      <c r="I58" s="593"/>
      <c r="J58" s="593"/>
      <c r="K58" s="593"/>
      <c r="L58" s="593"/>
      <c r="M58" s="593"/>
      <c r="N58" s="593"/>
      <c r="O58" s="593"/>
      <c r="P58" s="593"/>
      <c r="Q58" s="593"/>
      <c r="R58" s="324">
        <v>187.4</v>
      </c>
      <c r="S58" s="325" t="s">
        <v>570</v>
      </c>
    </row>
    <row r="59" spans="1:19">
      <c r="A59" s="294"/>
      <c r="B59" s="298" t="s">
        <v>903</v>
      </c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314"/>
      <c r="S59" s="297"/>
    </row>
    <row r="60" spans="1:19">
      <c r="A60" s="294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314"/>
      <c r="S60" s="297"/>
    </row>
    <row r="61" spans="1:19" ht="12.75" customHeight="1">
      <c r="A61" s="328" t="s">
        <v>575</v>
      </c>
      <c r="B61" s="593" t="s">
        <v>934</v>
      </c>
      <c r="C61" s="593"/>
      <c r="D61" s="593"/>
      <c r="E61" s="593"/>
      <c r="F61" s="593"/>
      <c r="G61" s="593"/>
      <c r="H61" s="593"/>
      <c r="I61" s="593"/>
      <c r="J61" s="593"/>
      <c r="K61" s="593"/>
      <c r="L61" s="593"/>
      <c r="M61" s="593"/>
      <c r="N61" s="593"/>
      <c r="O61" s="593"/>
      <c r="P61" s="593"/>
      <c r="Q61" s="593"/>
      <c r="R61" s="324">
        <v>298.3</v>
      </c>
      <c r="S61" s="325" t="s">
        <v>570</v>
      </c>
    </row>
    <row r="62" spans="1:19">
      <c r="A62" s="294"/>
      <c r="B62" s="298" t="s">
        <v>903</v>
      </c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314"/>
      <c r="S62" s="297"/>
    </row>
    <row r="63" spans="1:19">
      <c r="A63" s="294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314"/>
      <c r="S63" s="297"/>
    </row>
    <row r="64" spans="1:19" ht="12.75" customHeight="1">
      <c r="A64" s="328" t="s">
        <v>576</v>
      </c>
      <c r="B64" s="593" t="s">
        <v>935</v>
      </c>
      <c r="C64" s="593"/>
      <c r="D64" s="593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324">
        <v>170.9</v>
      </c>
      <c r="S64" s="325" t="s">
        <v>570</v>
      </c>
    </row>
    <row r="65" spans="1:20">
      <c r="A65" s="294"/>
      <c r="B65" s="298" t="s">
        <v>903</v>
      </c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314"/>
      <c r="S65" s="297"/>
    </row>
    <row r="66" spans="1:20">
      <c r="A66" s="294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314"/>
      <c r="S66" s="297"/>
    </row>
    <row r="67" spans="1:20" ht="12.75" customHeight="1">
      <c r="A67" s="328" t="s">
        <v>577</v>
      </c>
      <c r="B67" s="593" t="s">
        <v>926</v>
      </c>
      <c r="C67" s="593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324">
        <f>C200</f>
        <v>10.59</v>
      </c>
      <c r="S67" s="325" t="s">
        <v>542</v>
      </c>
    </row>
    <row r="68" spans="1:20">
      <c r="A68" s="294"/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7"/>
      <c r="S68" s="297"/>
    </row>
    <row r="69" spans="1:20">
      <c r="A69" s="294"/>
      <c r="B69" s="594" t="s">
        <v>911</v>
      </c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4"/>
      <c r="O69" s="594"/>
      <c r="P69" s="594"/>
      <c r="Q69" s="594"/>
      <c r="R69" s="297"/>
      <c r="S69" s="297"/>
    </row>
    <row r="70" spans="1:20">
      <c r="A70" s="294"/>
      <c r="B70" s="298" t="s">
        <v>937</v>
      </c>
      <c r="C70" s="306">
        <v>0.7</v>
      </c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7"/>
      <c r="S70" s="297"/>
    </row>
    <row r="71" spans="1:20">
      <c r="A71" s="294"/>
      <c r="B71" s="298" t="s">
        <v>938</v>
      </c>
      <c r="C71" s="307" t="s">
        <v>943</v>
      </c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7"/>
      <c r="S71" s="297"/>
    </row>
    <row r="72" spans="1:20">
      <c r="A72" s="294"/>
      <c r="B72" s="298" t="s">
        <v>939</v>
      </c>
      <c r="C72" s="307" t="s">
        <v>944</v>
      </c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7"/>
      <c r="S72" s="297"/>
    </row>
    <row r="73" spans="1:20">
      <c r="A73" s="294"/>
      <c r="B73" s="298" t="s">
        <v>940</v>
      </c>
      <c r="C73" s="307" t="s">
        <v>945</v>
      </c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7"/>
      <c r="S73" s="297"/>
    </row>
    <row r="74" spans="1:20">
      <c r="A74" s="294"/>
      <c r="B74" s="298" t="s">
        <v>941</v>
      </c>
      <c r="C74" s="307" t="s">
        <v>946</v>
      </c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7"/>
      <c r="S74" s="297"/>
    </row>
    <row r="75" spans="1:20">
      <c r="A75" s="294"/>
      <c r="B75" s="298" t="s">
        <v>942</v>
      </c>
      <c r="C75" s="307" t="s">
        <v>947</v>
      </c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7"/>
      <c r="S75" s="297"/>
    </row>
    <row r="76" spans="1:20">
      <c r="A76" s="294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297"/>
      <c r="S76" s="297"/>
    </row>
    <row r="77" spans="1:20">
      <c r="A77" s="294"/>
      <c r="B77" s="127"/>
      <c r="C77" s="311" t="s">
        <v>949</v>
      </c>
      <c r="D77" s="127"/>
      <c r="E77" s="311" t="s">
        <v>950</v>
      </c>
      <c r="F77" s="127"/>
      <c r="G77" s="311" t="s">
        <v>939</v>
      </c>
      <c r="H77" s="127"/>
      <c r="I77" s="127"/>
      <c r="J77" s="127" t="s">
        <v>953</v>
      </c>
      <c r="K77" s="127"/>
      <c r="L77" s="127"/>
      <c r="M77" s="127"/>
      <c r="N77" s="127"/>
      <c r="O77" s="127"/>
      <c r="P77" s="127"/>
      <c r="Q77" s="127"/>
      <c r="R77" s="297"/>
      <c r="S77" s="297"/>
    </row>
    <row r="78" spans="1:20">
      <c r="A78" s="294"/>
      <c r="B78" s="127" t="s">
        <v>948</v>
      </c>
      <c r="C78" s="309">
        <f>C70</f>
        <v>0.7</v>
      </c>
      <c r="D78" s="234" t="s">
        <v>951</v>
      </c>
      <c r="E78" s="234" t="str">
        <f>C71</f>
        <v>0,60</v>
      </c>
      <c r="F78" s="234" t="s">
        <v>951</v>
      </c>
      <c r="G78" s="234" t="str">
        <f>C72</f>
        <v>0,25</v>
      </c>
      <c r="H78" s="234"/>
      <c r="I78" s="234" t="s">
        <v>952</v>
      </c>
      <c r="J78" s="234">
        <f>C78*E78*G78</f>
        <v>0.105</v>
      </c>
      <c r="K78" s="127" t="s">
        <v>23</v>
      </c>
      <c r="L78" s="127"/>
      <c r="M78" s="127"/>
      <c r="N78" s="127"/>
      <c r="O78" s="127"/>
      <c r="P78" s="127"/>
      <c r="Q78" s="127"/>
      <c r="R78" s="297"/>
      <c r="S78" s="297"/>
    </row>
    <row r="79" spans="1:20">
      <c r="A79" s="294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297"/>
      <c r="S79" s="297"/>
      <c r="T79" s="7">
        <f>0.105+0.018</f>
        <v>0.123</v>
      </c>
    </row>
    <row r="80" spans="1:20">
      <c r="A80" s="294"/>
      <c r="B80" s="127" t="s">
        <v>954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297"/>
      <c r="S80" s="297"/>
    </row>
    <row r="81" spans="1:19">
      <c r="A81" s="294"/>
      <c r="B81" s="127"/>
      <c r="C81" s="230" t="s">
        <v>956</v>
      </c>
      <c r="D81" s="234"/>
      <c r="E81" s="230" t="s">
        <v>957</v>
      </c>
      <c r="F81" s="234"/>
      <c r="G81" s="234"/>
      <c r="H81" s="234"/>
      <c r="I81" s="127"/>
      <c r="J81" s="127"/>
      <c r="K81" s="127"/>
      <c r="L81" s="127"/>
      <c r="M81" s="127"/>
      <c r="N81" s="127"/>
      <c r="O81" s="127"/>
      <c r="P81" s="127"/>
      <c r="Q81" s="127"/>
      <c r="R81" s="297"/>
      <c r="S81" s="297"/>
    </row>
    <row r="82" spans="1:19">
      <c r="A82" s="294"/>
      <c r="B82" s="127" t="s">
        <v>955</v>
      </c>
      <c r="C82" s="310" t="str">
        <f>C71</f>
        <v>0,60</v>
      </c>
      <c r="D82" s="234" t="s">
        <v>951</v>
      </c>
      <c r="E82" s="310" t="str">
        <f>C71</f>
        <v>0,60</v>
      </c>
      <c r="F82" s="234" t="s">
        <v>952</v>
      </c>
      <c r="G82" s="234">
        <f>C82*E82</f>
        <v>0.36</v>
      </c>
      <c r="H82" s="127" t="s">
        <v>8</v>
      </c>
      <c r="I82" s="127"/>
      <c r="J82" s="127"/>
      <c r="K82" s="127"/>
      <c r="L82" s="127"/>
      <c r="M82" s="127"/>
      <c r="N82" s="127"/>
      <c r="O82" s="127"/>
      <c r="P82" s="127"/>
      <c r="Q82" s="127"/>
      <c r="R82" s="297"/>
      <c r="S82" s="297"/>
    </row>
    <row r="83" spans="1:19">
      <c r="A83" s="294"/>
      <c r="B83" s="127"/>
      <c r="C83" s="234"/>
      <c r="D83" s="234"/>
      <c r="E83" s="234"/>
      <c r="F83" s="234"/>
      <c r="G83" s="234"/>
      <c r="H83" s="234"/>
      <c r="I83" s="127"/>
      <c r="J83" s="127"/>
      <c r="K83" s="127"/>
      <c r="L83" s="127"/>
      <c r="M83" s="127"/>
      <c r="N83" s="127"/>
      <c r="O83" s="127"/>
      <c r="P83" s="127"/>
      <c r="Q83" s="127"/>
      <c r="R83" s="297"/>
      <c r="S83" s="297"/>
    </row>
    <row r="84" spans="1:19">
      <c r="A84" s="294"/>
      <c r="B84" s="127"/>
      <c r="C84" s="230" t="s">
        <v>958</v>
      </c>
      <c r="D84" s="230"/>
      <c r="E84" s="230" t="s">
        <v>959</v>
      </c>
      <c r="F84" s="230"/>
      <c r="G84" s="230"/>
      <c r="H84" s="234"/>
      <c r="I84" s="127"/>
      <c r="J84" s="127"/>
      <c r="K84" s="127"/>
      <c r="L84" s="127"/>
      <c r="M84" s="127"/>
      <c r="N84" s="127"/>
      <c r="O84" s="127"/>
      <c r="P84" s="127"/>
      <c r="Q84" s="127"/>
      <c r="R84" s="297"/>
      <c r="S84" s="297"/>
    </row>
    <row r="85" spans="1:19">
      <c r="A85" s="294"/>
      <c r="B85" s="127"/>
      <c r="C85" s="310" t="str">
        <f>C73</f>
        <v>0,30</v>
      </c>
      <c r="D85" s="234" t="s">
        <v>951</v>
      </c>
      <c r="E85" s="310" t="str">
        <f>C74</f>
        <v>0,15</v>
      </c>
      <c r="F85" s="234" t="s">
        <v>952</v>
      </c>
      <c r="G85" s="309">
        <f>C85*E85</f>
        <v>4.4999999999999998E-2</v>
      </c>
      <c r="H85" s="234" t="s">
        <v>8</v>
      </c>
      <c r="I85" s="127"/>
      <c r="J85" s="127"/>
      <c r="K85" s="127"/>
      <c r="L85" s="127"/>
      <c r="M85" s="127"/>
      <c r="N85" s="127"/>
      <c r="O85" s="127"/>
      <c r="P85" s="127"/>
      <c r="Q85" s="127"/>
      <c r="R85" s="297"/>
      <c r="S85" s="297"/>
    </row>
    <row r="86" spans="1:19">
      <c r="A86" s="294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297"/>
      <c r="S86" s="297"/>
    </row>
    <row r="87" spans="1:19" ht="21" customHeight="1">
      <c r="A87" s="294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297"/>
      <c r="S87" s="297"/>
    </row>
    <row r="88" spans="1:19">
      <c r="A88" s="294"/>
      <c r="B88" s="127" t="s">
        <v>954</v>
      </c>
      <c r="C88" s="312">
        <f>(C75/3)*(G82+G85+(SQRT(G82*G85)))</f>
        <v>1.7742640687119282E-2</v>
      </c>
      <c r="D88" s="127" t="s">
        <v>23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297"/>
      <c r="S88" s="297"/>
    </row>
    <row r="89" spans="1:19">
      <c r="A89" s="294"/>
      <c r="B89" s="127"/>
      <c r="C89" s="312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297"/>
      <c r="S89" s="297"/>
    </row>
    <row r="90" spans="1:19">
      <c r="A90" s="294"/>
      <c r="B90" s="127" t="s">
        <v>961</v>
      </c>
      <c r="C90" s="312">
        <f>C88+J78</f>
        <v>0.12274264068711928</v>
      </c>
      <c r="D90" s="127" t="s">
        <v>23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297"/>
      <c r="S90" s="297"/>
    </row>
    <row r="91" spans="1:19">
      <c r="A91" s="294"/>
      <c r="B91" s="127"/>
      <c r="C91" s="312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297"/>
      <c r="S91" s="297"/>
    </row>
    <row r="92" spans="1:19">
      <c r="A92" s="294"/>
      <c r="B92" s="127"/>
      <c r="C92" s="313" t="s">
        <v>962</v>
      </c>
      <c r="D92" s="234"/>
      <c r="E92" s="234" t="s">
        <v>964</v>
      </c>
      <c r="F92" s="234"/>
      <c r="G92" s="234" t="s">
        <v>953</v>
      </c>
      <c r="H92" s="234"/>
      <c r="I92" s="127"/>
      <c r="J92" s="127"/>
      <c r="K92" s="127"/>
      <c r="L92" s="127"/>
      <c r="M92" s="127"/>
      <c r="N92" s="127"/>
      <c r="O92" s="127"/>
      <c r="P92" s="127"/>
      <c r="Q92" s="127"/>
      <c r="R92" s="297"/>
      <c r="S92" s="297"/>
    </row>
    <row r="93" spans="1:19">
      <c r="A93" s="294"/>
      <c r="B93" s="127" t="s">
        <v>960</v>
      </c>
      <c r="C93" s="313">
        <f>C90</f>
        <v>0.12274264068711928</v>
      </c>
      <c r="D93" s="234" t="s">
        <v>966</v>
      </c>
      <c r="E93" s="234">
        <v>52</v>
      </c>
      <c r="F93" s="234" t="s">
        <v>963</v>
      </c>
      <c r="G93" s="309">
        <f>C93*E93</f>
        <v>6.3826173157302026</v>
      </c>
      <c r="H93" s="234" t="s">
        <v>23</v>
      </c>
      <c r="I93" s="127"/>
      <c r="J93" s="127"/>
      <c r="K93" s="127"/>
      <c r="L93" s="127"/>
      <c r="M93" s="127"/>
      <c r="N93" s="127"/>
      <c r="O93" s="127"/>
      <c r="P93" s="127"/>
      <c r="Q93" s="127"/>
      <c r="R93" s="297"/>
      <c r="S93" s="297"/>
    </row>
    <row r="94" spans="1:19">
      <c r="A94" s="294"/>
      <c r="B94" s="127"/>
      <c r="C94" s="312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297"/>
      <c r="S94" s="297"/>
    </row>
    <row r="95" spans="1:19">
      <c r="A95" s="294"/>
      <c r="B95" s="594" t="s">
        <v>913</v>
      </c>
      <c r="C95" s="594"/>
      <c r="D95" s="594"/>
      <c r="E95" s="594"/>
      <c r="F95" s="594"/>
      <c r="G95" s="594"/>
      <c r="H95" s="594"/>
      <c r="I95" s="594"/>
      <c r="J95" s="594"/>
      <c r="K95" s="594"/>
      <c r="L95" s="594"/>
      <c r="M95" s="594"/>
      <c r="N95" s="594"/>
      <c r="O95" s="594"/>
      <c r="P95" s="594"/>
      <c r="Q95" s="594"/>
      <c r="R95" s="297"/>
      <c r="S95" s="297"/>
    </row>
    <row r="96" spans="1:19">
      <c r="A96" s="294"/>
      <c r="B96" s="298" t="s">
        <v>937</v>
      </c>
      <c r="C96" s="306">
        <v>0.7</v>
      </c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7"/>
      <c r="S96" s="297"/>
    </row>
    <row r="97" spans="1:20">
      <c r="A97" s="294"/>
      <c r="B97" s="298" t="s">
        <v>938</v>
      </c>
      <c r="C97" s="307" t="s">
        <v>943</v>
      </c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7"/>
      <c r="S97" s="297"/>
    </row>
    <row r="98" spans="1:20">
      <c r="A98" s="294"/>
      <c r="B98" s="298" t="s">
        <v>939</v>
      </c>
      <c r="C98" s="306">
        <v>0.35</v>
      </c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7"/>
      <c r="S98" s="297"/>
    </row>
    <row r="99" spans="1:20">
      <c r="A99" s="294"/>
      <c r="B99" s="298" t="s">
        <v>940</v>
      </c>
      <c r="C99" s="307" t="s">
        <v>945</v>
      </c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7"/>
      <c r="S99" s="297"/>
    </row>
    <row r="100" spans="1:20">
      <c r="A100" s="294"/>
      <c r="B100" s="298" t="s">
        <v>941</v>
      </c>
      <c r="C100" s="307" t="s">
        <v>946</v>
      </c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7"/>
      <c r="S100" s="297"/>
    </row>
    <row r="101" spans="1:20">
      <c r="A101" s="294"/>
      <c r="B101" s="298" t="s">
        <v>942</v>
      </c>
      <c r="C101" s="307" t="s">
        <v>947</v>
      </c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7"/>
      <c r="S101" s="297"/>
    </row>
    <row r="102" spans="1:20">
      <c r="A102" s="294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297"/>
      <c r="S102" s="297"/>
    </row>
    <row r="103" spans="1:20">
      <c r="A103" s="294"/>
      <c r="B103" s="127"/>
      <c r="C103" s="311" t="s">
        <v>949</v>
      </c>
      <c r="D103" s="127"/>
      <c r="E103" s="311" t="s">
        <v>950</v>
      </c>
      <c r="F103" s="127"/>
      <c r="G103" s="311" t="s">
        <v>939</v>
      </c>
      <c r="H103" s="127"/>
      <c r="I103" s="127"/>
      <c r="J103" s="127" t="s">
        <v>953</v>
      </c>
      <c r="K103" s="127"/>
      <c r="L103" s="127"/>
      <c r="M103" s="127"/>
      <c r="N103" s="127"/>
      <c r="O103" s="127"/>
      <c r="P103" s="127"/>
      <c r="Q103" s="127"/>
      <c r="R103" s="297"/>
      <c r="S103" s="297"/>
    </row>
    <row r="104" spans="1:20">
      <c r="A104" s="294"/>
      <c r="B104" s="127" t="s">
        <v>948</v>
      </c>
      <c r="C104" s="309">
        <f>C96</f>
        <v>0.7</v>
      </c>
      <c r="D104" s="234" t="s">
        <v>951</v>
      </c>
      <c r="E104" s="234" t="str">
        <f>C97</f>
        <v>0,60</v>
      </c>
      <c r="F104" s="234" t="s">
        <v>951</v>
      </c>
      <c r="G104" s="234">
        <f>C98</f>
        <v>0.35</v>
      </c>
      <c r="H104" s="234"/>
      <c r="I104" s="234" t="s">
        <v>952</v>
      </c>
      <c r="J104" s="234">
        <f>C104*E104*G104</f>
        <v>0.14699999999999999</v>
      </c>
      <c r="K104" s="127" t="s">
        <v>23</v>
      </c>
      <c r="L104" s="127"/>
      <c r="M104" s="127"/>
      <c r="N104" s="127"/>
      <c r="O104" s="127"/>
      <c r="P104" s="127"/>
      <c r="Q104" s="127"/>
      <c r="R104" s="297"/>
      <c r="S104" s="297"/>
    </row>
    <row r="105" spans="1:20">
      <c r="A105" s="294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297"/>
      <c r="S105" s="297"/>
    </row>
    <row r="106" spans="1:20">
      <c r="A106" s="294"/>
      <c r="B106" s="127" t="s">
        <v>954</v>
      </c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297"/>
      <c r="S106" s="297"/>
    </row>
    <row r="107" spans="1:20">
      <c r="A107" s="294"/>
      <c r="B107" s="127"/>
      <c r="C107" s="230" t="s">
        <v>956</v>
      </c>
      <c r="D107" s="234"/>
      <c r="E107" s="230" t="s">
        <v>957</v>
      </c>
      <c r="F107" s="234"/>
      <c r="G107" s="234"/>
      <c r="H107" s="234"/>
      <c r="I107" s="127"/>
      <c r="J107" s="127"/>
      <c r="K107" s="127"/>
      <c r="L107" s="127"/>
      <c r="M107" s="127"/>
      <c r="N107" s="127"/>
      <c r="O107" s="127"/>
      <c r="P107" s="127"/>
      <c r="Q107" s="127"/>
      <c r="R107" s="297"/>
      <c r="S107" s="297"/>
      <c r="T107" s="7">
        <f>0.147+0.018</f>
        <v>0.16499999999999998</v>
      </c>
    </row>
    <row r="108" spans="1:20">
      <c r="A108" s="294"/>
      <c r="B108" s="127" t="s">
        <v>955</v>
      </c>
      <c r="C108" s="310" t="str">
        <f>C97</f>
        <v>0,60</v>
      </c>
      <c r="D108" s="234" t="s">
        <v>951</v>
      </c>
      <c r="E108" s="310" t="str">
        <f>C97</f>
        <v>0,60</v>
      </c>
      <c r="F108" s="234" t="s">
        <v>952</v>
      </c>
      <c r="G108" s="234">
        <f>C108*E108</f>
        <v>0.36</v>
      </c>
      <c r="H108" s="127" t="s">
        <v>8</v>
      </c>
      <c r="I108" s="127"/>
      <c r="J108" s="127"/>
      <c r="K108" s="127"/>
      <c r="L108" s="127"/>
      <c r="M108" s="127"/>
      <c r="N108" s="127"/>
      <c r="O108" s="127"/>
      <c r="P108" s="127"/>
      <c r="Q108" s="127"/>
      <c r="R108" s="297"/>
      <c r="S108" s="297"/>
    </row>
    <row r="109" spans="1:20">
      <c r="A109" s="294"/>
      <c r="B109" s="127"/>
      <c r="C109" s="234"/>
      <c r="D109" s="234"/>
      <c r="E109" s="234"/>
      <c r="F109" s="234"/>
      <c r="G109" s="234"/>
      <c r="H109" s="234"/>
      <c r="I109" s="127"/>
      <c r="J109" s="127"/>
      <c r="K109" s="127"/>
      <c r="L109" s="127"/>
      <c r="M109" s="127"/>
      <c r="N109" s="127"/>
      <c r="O109" s="127"/>
      <c r="P109" s="127"/>
      <c r="Q109" s="127"/>
      <c r="R109" s="297"/>
      <c r="S109" s="297"/>
    </row>
    <row r="110" spans="1:20">
      <c r="A110" s="294"/>
      <c r="B110" s="127"/>
      <c r="C110" s="230" t="s">
        <v>958</v>
      </c>
      <c r="D110" s="230"/>
      <c r="E110" s="230" t="s">
        <v>959</v>
      </c>
      <c r="F110" s="230"/>
      <c r="G110" s="230"/>
      <c r="H110" s="234"/>
      <c r="I110" s="127"/>
      <c r="J110" s="127"/>
      <c r="K110" s="127"/>
      <c r="L110" s="127"/>
      <c r="M110" s="127"/>
      <c r="N110" s="127"/>
      <c r="O110" s="127"/>
      <c r="P110" s="127"/>
      <c r="Q110" s="127"/>
      <c r="R110" s="297"/>
      <c r="S110" s="297"/>
    </row>
    <row r="111" spans="1:20">
      <c r="A111" s="294"/>
      <c r="B111" s="127"/>
      <c r="C111" s="310" t="str">
        <f>C99</f>
        <v>0,30</v>
      </c>
      <c r="D111" s="234" t="s">
        <v>951</v>
      </c>
      <c r="E111" s="310" t="str">
        <f>C100</f>
        <v>0,15</v>
      </c>
      <c r="F111" s="234" t="s">
        <v>952</v>
      </c>
      <c r="G111" s="309">
        <f>C111*E111</f>
        <v>4.4999999999999998E-2</v>
      </c>
      <c r="H111" s="234" t="s">
        <v>8</v>
      </c>
      <c r="I111" s="127"/>
      <c r="J111" s="127"/>
      <c r="K111" s="127"/>
      <c r="L111" s="127"/>
      <c r="M111" s="127"/>
      <c r="N111" s="127"/>
      <c r="O111" s="127"/>
      <c r="P111" s="127"/>
      <c r="Q111" s="127"/>
      <c r="R111" s="297"/>
      <c r="S111" s="297"/>
    </row>
    <row r="112" spans="1:20">
      <c r="A112" s="294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297"/>
      <c r="S112" s="297"/>
    </row>
    <row r="113" spans="1:19" ht="21" customHeight="1">
      <c r="A113" s="294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297"/>
      <c r="S113" s="297"/>
    </row>
    <row r="114" spans="1:19">
      <c r="A114" s="294"/>
      <c r="B114" s="127" t="s">
        <v>954</v>
      </c>
      <c r="C114" s="312">
        <f>(C101/3)*(G108+G111+(SQRT(G108*G111)))</f>
        <v>1.7742640687119282E-2</v>
      </c>
      <c r="D114" s="127" t="s">
        <v>23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297"/>
      <c r="S114" s="297"/>
    </row>
    <row r="115" spans="1:19">
      <c r="A115" s="294"/>
      <c r="B115" s="127"/>
      <c r="C115" s="312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297"/>
      <c r="S115" s="297"/>
    </row>
    <row r="116" spans="1:19">
      <c r="A116" s="294"/>
      <c r="B116" s="127" t="s">
        <v>961</v>
      </c>
      <c r="C116" s="312">
        <f>C114+J104</f>
        <v>0.16474264068711927</v>
      </c>
      <c r="D116" s="127" t="s">
        <v>23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297"/>
      <c r="S116" s="297"/>
    </row>
    <row r="117" spans="1:19">
      <c r="A117" s="294"/>
      <c r="B117" s="127"/>
      <c r="C117" s="312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297"/>
      <c r="S117" s="297"/>
    </row>
    <row r="118" spans="1:19">
      <c r="A118" s="294"/>
      <c r="B118" s="127"/>
      <c r="C118" s="313" t="s">
        <v>962</v>
      </c>
      <c r="D118" s="234"/>
      <c r="E118" s="234" t="s">
        <v>964</v>
      </c>
      <c r="F118" s="234"/>
      <c r="G118" s="234" t="s">
        <v>953</v>
      </c>
      <c r="H118" s="234"/>
      <c r="I118" s="127"/>
      <c r="J118" s="127"/>
      <c r="K118" s="127"/>
      <c r="L118" s="127"/>
      <c r="M118" s="127"/>
      <c r="N118" s="127"/>
      <c r="O118" s="127"/>
      <c r="P118" s="127"/>
      <c r="Q118" s="127"/>
      <c r="R118" s="297"/>
      <c r="S118" s="297"/>
    </row>
    <row r="119" spans="1:19">
      <c r="A119" s="294"/>
      <c r="B119" s="127" t="s">
        <v>960</v>
      </c>
      <c r="C119" s="313">
        <f>C116</f>
        <v>0.16474264068711927</v>
      </c>
      <c r="D119" s="234" t="s">
        <v>966</v>
      </c>
      <c r="E119" s="234">
        <v>13</v>
      </c>
      <c r="F119" s="234" t="s">
        <v>963</v>
      </c>
      <c r="G119" s="309">
        <f>C119*E119</f>
        <v>2.1416543289325505</v>
      </c>
      <c r="H119" s="234" t="s">
        <v>23</v>
      </c>
      <c r="I119" s="127"/>
      <c r="J119" s="127"/>
      <c r="K119" s="127"/>
      <c r="L119" s="127"/>
      <c r="M119" s="127"/>
      <c r="N119" s="127"/>
      <c r="O119" s="127"/>
      <c r="P119" s="127"/>
      <c r="Q119" s="127"/>
      <c r="R119" s="297"/>
      <c r="S119" s="297"/>
    </row>
    <row r="120" spans="1:19">
      <c r="A120" s="294"/>
      <c r="B120" s="127"/>
      <c r="C120" s="312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297"/>
      <c r="S120" s="297"/>
    </row>
    <row r="121" spans="1:19">
      <c r="A121" s="294"/>
      <c r="B121" s="594" t="s">
        <v>915</v>
      </c>
      <c r="C121" s="594"/>
      <c r="D121" s="594"/>
      <c r="E121" s="594"/>
      <c r="F121" s="594"/>
      <c r="G121" s="594"/>
      <c r="H121" s="594"/>
      <c r="I121" s="594"/>
      <c r="J121" s="594"/>
      <c r="K121" s="594"/>
      <c r="L121" s="594"/>
      <c r="M121" s="594"/>
      <c r="N121" s="594"/>
      <c r="O121" s="594"/>
      <c r="P121" s="594"/>
      <c r="Q121" s="594"/>
      <c r="R121" s="297"/>
      <c r="S121" s="297"/>
    </row>
    <row r="122" spans="1:19">
      <c r="A122" s="294"/>
      <c r="B122" s="298" t="s">
        <v>937</v>
      </c>
      <c r="C122" s="306">
        <v>0.7</v>
      </c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7"/>
      <c r="S122" s="297"/>
    </row>
    <row r="123" spans="1:19">
      <c r="A123" s="294"/>
      <c r="B123" s="298" t="s">
        <v>938</v>
      </c>
      <c r="C123" s="307" t="s">
        <v>943</v>
      </c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7"/>
      <c r="S123" s="297"/>
    </row>
    <row r="124" spans="1:19">
      <c r="A124" s="294"/>
      <c r="B124" s="298" t="s">
        <v>939</v>
      </c>
      <c r="C124" s="306">
        <v>0.45</v>
      </c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7"/>
      <c r="S124" s="297"/>
    </row>
    <row r="125" spans="1:19">
      <c r="A125" s="294"/>
      <c r="B125" s="298" t="s">
        <v>940</v>
      </c>
      <c r="C125" s="307" t="s">
        <v>945</v>
      </c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7"/>
      <c r="S125" s="297"/>
    </row>
    <row r="126" spans="1:19">
      <c r="A126" s="294"/>
      <c r="B126" s="298" t="s">
        <v>941</v>
      </c>
      <c r="C126" s="306">
        <v>0.2</v>
      </c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7"/>
      <c r="S126" s="297"/>
    </row>
    <row r="127" spans="1:19">
      <c r="A127" s="294"/>
      <c r="B127" s="298" t="s">
        <v>942</v>
      </c>
      <c r="C127" s="307" t="s">
        <v>947</v>
      </c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7"/>
      <c r="S127" s="297"/>
    </row>
    <row r="128" spans="1:19">
      <c r="A128" s="294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297"/>
      <c r="S128" s="297"/>
    </row>
    <row r="129" spans="1:20">
      <c r="A129" s="294"/>
      <c r="B129" s="127"/>
      <c r="C129" s="311" t="s">
        <v>949</v>
      </c>
      <c r="D129" s="127"/>
      <c r="E129" s="311" t="s">
        <v>950</v>
      </c>
      <c r="F129" s="127"/>
      <c r="G129" s="311" t="s">
        <v>939</v>
      </c>
      <c r="H129" s="127"/>
      <c r="I129" s="127"/>
      <c r="J129" s="127" t="s">
        <v>953</v>
      </c>
      <c r="K129" s="127"/>
      <c r="L129" s="127"/>
      <c r="M129" s="127"/>
      <c r="N129" s="127"/>
      <c r="O129" s="127"/>
      <c r="P129" s="127"/>
      <c r="Q129" s="127"/>
      <c r="R129" s="297"/>
      <c r="S129" s="297"/>
    </row>
    <row r="130" spans="1:20">
      <c r="A130" s="294"/>
      <c r="B130" s="127" t="s">
        <v>948</v>
      </c>
      <c r="C130" s="309">
        <f>C122</f>
        <v>0.7</v>
      </c>
      <c r="D130" s="234" t="s">
        <v>951</v>
      </c>
      <c r="E130" s="234" t="str">
        <f>C123</f>
        <v>0,60</v>
      </c>
      <c r="F130" s="234" t="s">
        <v>951</v>
      </c>
      <c r="G130" s="234">
        <f>C124</f>
        <v>0.45</v>
      </c>
      <c r="H130" s="234"/>
      <c r="I130" s="234" t="s">
        <v>952</v>
      </c>
      <c r="J130" s="234">
        <f>C130*E130*G130</f>
        <v>0.189</v>
      </c>
      <c r="K130" s="127" t="s">
        <v>23</v>
      </c>
      <c r="L130" s="127"/>
      <c r="M130" s="127"/>
      <c r="N130" s="127"/>
      <c r="O130" s="127"/>
      <c r="P130" s="127"/>
      <c r="Q130" s="127"/>
      <c r="R130" s="297"/>
      <c r="S130" s="297"/>
    </row>
    <row r="131" spans="1:20">
      <c r="A131" s="294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297"/>
      <c r="S131" s="297"/>
    </row>
    <row r="132" spans="1:20">
      <c r="A132" s="294"/>
      <c r="B132" s="127" t="s">
        <v>954</v>
      </c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297"/>
      <c r="S132" s="297"/>
    </row>
    <row r="133" spans="1:20">
      <c r="A133" s="294"/>
      <c r="B133" s="127"/>
      <c r="C133" s="230" t="s">
        <v>956</v>
      </c>
      <c r="D133" s="234"/>
      <c r="E133" s="230" t="s">
        <v>957</v>
      </c>
      <c r="F133" s="234"/>
      <c r="G133" s="234"/>
      <c r="H133" s="234"/>
      <c r="I133" s="127"/>
      <c r="J133" s="127"/>
      <c r="K133" s="127"/>
      <c r="L133" s="127"/>
      <c r="M133" s="127"/>
      <c r="N133" s="127"/>
      <c r="O133" s="127"/>
      <c r="P133" s="127"/>
      <c r="Q133" s="127"/>
      <c r="R133" s="297"/>
      <c r="S133" s="297"/>
    </row>
    <row r="134" spans="1:20">
      <c r="A134" s="294"/>
      <c r="B134" s="127" t="s">
        <v>955</v>
      </c>
      <c r="C134" s="310" t="str">
        <f>C123</f>
        <v>0,60</v>
      </c>
      <c r="D134" s="234" t="s">
        <v>951</v>
      </c>
      <c r="E134" s="310" t="str">
        <f>C123</f>
        <v>0,60</v>
      </c>
      <c r="F134" s="234" t="s">
        <v>952</v>
      </c>
      <c r="G134" s="234">
        <f>C134*E134</f>
        <v>0.36</v>
      </c>
      <c r="H134" s="127" t="s">
        <v>8</v>
      </c>
      <c r="I134" s="127"/>
      <c r="J134" s="127"/>
      <c r="K134" s="127"/>
      <c r="L134" s="127"/>
      <c r="M134" s="127"/>
      <c r="N134" s="127"/>
      <c r="O134" s="127"/>
      <c r="P134" s="127"/>
      <c r="Q134" s="127"/>
      <c r="R134" s="297"/>
      <c r="S134" s="297"/>
      <c r="T134" s="7">
        <f>0.189+0.019</f>
        <v>0.20799999999999999</v>
      </c>
    </row>
    <row r="135" spans="1:20">
      <c r="A135" s="294"/>
      <c r="B135" s="127"/>
      <c r="C135" s="234"/>
      <c r="D135" s="234"/>
      <c r="E135" s="234"/>
      <c r="F135" s="234"/>
      <c r="G135" s="234"/>
      <c r="H135" s="234"/>
      <c r="I135" s="127"/>
      <c r="J135" s="127"/>
      <c r="K135" s="127"/>
      <c r="L135" s="127"/>
      <c r="M135" s="127"/>
      <c r="N135" s="127"/>
      <c r="O135" s="127"/>
      <c r="P135" s="127"/>
      <c r="Q135" s="127"/>
      <c r="R135" s="297"/>
      <c r="S135" s="297"/>
    </row>
    <row r="136" spans="1:20">
      <c r="A136" s="294"/>
      <c r="B136" s="127"/>
      <c r="C136" s="230" t="s">
        <v>958</v>
      </c>
      <c r="D136" s="230"/>
      <c r="E136" s="230" t="s">
        <v>959</v>
      </c>
      <c r="F136" s="230"/>
      <c r="G136" s="230"/>
      <c r="H136" s="234"/>
      <c r="I136" s="127"/>
      <c r="J136" s="127"/>
      <c r="K136" s="127"/>
      <c r="L136" s="127"/>
      <c r="M136" s="127"/>
      <c r="N136" s="127"/>
      <c r="O136" s="127"/>
      <c r="P136" s="127"/>
      <c r="Q136" s="127"/>
      <c r="R136" s="297"/>
      <c r="S136" s="297"/>
    </row>
    <row r="137" spans="1:20">
      <c r="A137" s="294"/>
      <c r="B137" s="127"/>
      <c r="C137" s="310" t="str">
        <f>C125</f>
        <v>0,30</v>
      </c>
      <c r="D137" s="234" t="s">
        <v>951</v>
      </c>
      <c r="E137" s="309">
        <f>C126</f>
        <v>0.2</v>
      </c>
      <c r="F137" s="234" t="s">
        <v>952</v>
      </c>
      <c r="G137" s="309">
        <f>C137*E137</f>
        <v>0.06</v>
      </c>
      <c r="H137" s="234" t="s">
        <v>8</v>
      </c>
      <c r="I137" s="127"/>
      <c r="J137" s="127"/>
      <c r="K137" s="127"/>
      <c r="L137" s="127"/>
      <c r="M137" s="127"/>
      <c r="N137" s="127"/>
      <c r="O137" s="127"/>
      <c r="P137" s="127"/>
      <c r="Q137" s="127"/>
      <c r="R137" s="297"/>
      <c r="S137" s="297"/>
    </row>
    <row r="138" spans="1:20">
      <c r="A138" s="294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297"/>
      <c r="S138" s="297"/>
    </row>
    <row r="139" spans="1:20" ht="21" customHeight="1">
      <c r="A139" s="294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297"/>
      <c r="S139" s="297"/>
    </row>
    <row r="140" spans="1:20">
      <c r="A140" s="294"/>
      <c r="B140" s="127" t="s">
        <v>954</v>
      </c>
      <c r="C140" s="312">
        <f>(C127/3)*(G134+G137+(SQRT(G134*G137)))</f>
        <v>1.8898979485566354E-2</v>
      </c>
      <c r="D140" s="127" t="s">
        <v>23</v>
      </c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297"/>
      <c r="S140" s="297"/>
    </row>
    <row r="141" spans="1:20">
      <c r="A141" s="294"/>
      <c r="B141" s="127"/>
      <c r="C141" s="312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297"/>
      <c r="S141" s="297"/>
    </row>
    <row r="142" spans="1:20">
      <c r="A142" s="294"/>
      <c r="B142" s="127" t="s">
        <v>961</v>
      </c>
      <c r="C142" s="312">
        <f>C140+J130</f>
        <v>0.20789897948556635</v>
      </c>
      <c r="D142" s="127" t="s">
        <v>23</v>
      </c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297"/>
      <c r="S142" s="297"/>
    </row>
    <row r="143" spans="1:20">
      <c r="A143" s="294"/>
      <c r="B143" s="127"/>
      <c r="C143" s="312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297"/>
      <c r="S143" s="297"/>
    </row>
    <row r="144" spans="1:20">
      <c r="A144" s="294"/>
      <c r="B144" s="127"/>
      <c r="C144" s="313" t="s">
        <v>962</v>
      </c>
      <c r="D144" s="234"/>
      <c r="E144" s="234" t="s">
        <v>964</v>
      </c>
      <c r="F144" s="234"/>
      <c r="G144" s="234" t="s">
        <v>953</v>
      </c>
      <c r="H144" s="234"/>
      <c r="I144" s="127"/>
      <c r="J144" s="127"/>
      <c r="K144" s="127"/>
      <c r="L144" s="127"/>
      <c r="M144" s="127"/>
      <c r="N144" s="127"/>
      <c r="O144" s="127"/>
      <c r="P144" s="127"/>
      <c r="Q144" s="127"/>
      <c r="R144" s="297"/>
      <c r="S144" s="297"/>
    </row>
    <row r="145" spans="1:19">
      <c r="A145" s="294"/>
      <c r="B145" s="127" t="s">
        <v>960</v>
      </c>
      <c r="C145" s="313">
        <f>C142</f>
        <v>0.20789897948556635</v>
      </c>
      <c r="D145" s="234" t="s">
        <v>966</v>
      </c>
      <c r="E145" s="234">
        <v>5</v>
      </c>
      <c r="F145" s="234" t="s">
        <v>963</v>
      </c>
      <c r="G145" s="309">
        <f>C145*E145</f>
        <v>1.0394948974278317</v>
      </c>
      <c r="H145" s="234" t="s">
        <v>23</v>
      </c>
      <c r="I145" s="127"/>
      <c r="J145" s="127"/>
      <c r="K145" s="127"/>
      <c r="L145" s="127"/>
      <c r="M145" s="127"/>
      <c r="N145" s="127"/>
      <c r="O145" s="127"/>
      <c r="P145" s="127"/>
      <c r="Q145" s="127"/>
      <c r="R145" s="297"/>
      <c r="S145" s="297"/>
    </row>
    <row r="146" spans="1:19">
      <c r="A146" s="294"/>
      <c r="B146" s="127"/>
      <c r="C146" s="312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297"/>
      <c r="S146" s="297"/>
    </row>
    <row r="147" spans="1:19">
      <c r="A147" s="294"/>
      <c r="B147" s="594" t="s">
        <v>915</v>
      </c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297"/>
      <c r="S147" s="297"/>
    </row>
    <row r="148" spans="1:19">
      <c r="A148" s="294"/>
      <c r="B148" s="298" t="s">
        <v>937</v>
      </c>
      <c r="C148" s="306">
        <v>0.7</v>
      </c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7"/>
      <c r="S148" s="297"/>
    </row>
    <row r="149" spans="1:19">
      <c r="A149" s="294"/>
      <c r="B149" s="298" t="s">
        <v>938</v>
      </c>
      <c r="C149" s="307" t="s">
        <v>943</v>
      </c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7"/>
      <c r="S149" s="297"/>
    </row>
    <row r="150" spans="1:19">
      <c r="A150" s="294"/>
      <c r="B150" s="298" t="s">
        <v>939</v>
      </c>
      <c r="C150" s="306">
        <v>0.45</v>
      </c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7"/>
      <c r="S150" s="297"/>
    </row>
    <row r="151" spans="1:19">
      <c r="A151" s="294"/>
      <c r="B151" s="298" t="s">
        <v>940</v>
      </c>
      <c r="C151" s="307" t="s">
        <v>945</v>
      </c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7"/>
      <c r="S151" s="297"/>
    </row>
    <row r="152" spans="1:19">
      <c r="A152" s="294"/>
      <c r="B152" s="298" t="s">
        <v>941</v>
      </c>
      <c r="C152" s="306">
        <v>0.15</v>
      </c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7"/>
      <c r="S152" s="297"/>
    </row>
    <row r="153" spans="1:19">
      <c r="A153" s="294"/>
      <c r="B153" s="298" t="s">
        <v>942</v>
      </c>
      <c r="C153" s="307" t="s">
        <v>947</v>
      </c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7"/>
      <c r="S153" s="297"/>
    </row>
    <row r="154" spans="1:19">
      <c r="A154" s="294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297"/>
      <c r="S154" s="297"/>
    </row>
    <row r="155" spans="1:19">
      <c r="A155" s="294"/>
      <c r="B155" s="127"/>
      <c r="C155" s="311" t="s">
        <v>949</v>
      </c>
      <c r="D155" s="127"/>
      <c r="E155" s="311" t="s">
        <v>950</v>
      </c>
      <c r="F155" s="127"/>
      <c r="G155" s="311" t="s">
        <v>939</v>
      </c>
      <c r="H155" s="127"/>
      <c r="I155" s="127"/>
      <c r="J155" s="127" t="s">
        <v>953</v>
      </c>
      <c r="K155" s="127"/>
      <c r="L155" s="127"/>
      <c r="M155" s="127"/>
      <c r="N155" s="127"/>
      <c r="O155" s="127"/>
      <c r="P155" s="127"/>
      <c r="Q155" s="127"/>
      <c r="R155" s="297"/>
      <c r="S155" s="297"/>
    </row>
    <row r="156" spans="1:19">
      <c r="A156" s="294"/>
      <c r="B156" s="127" t="s">
        <v>948</v>
      </c>
      <c r="C156" s="309">
        <f>C148</f>
        <v>0.7</v>
      </c>
      <c r="D156" s="234" t="s">
        <v>951</v>
      </c>
      <c r="E156" s="234" t="str">
        <f>C149</f>
        <v>0,60</v>
      </c>
      <c r="F156" s="234" t="s">
        <v>951</v>
      </c>
      <c r="G156" s="234">
        <f>C150</f>
        <v>0.45</v>
      </c>
      <c r="H156" s="234"/>
      <c r="I156" s="234" t="s">
        <v>952</v>
      </c>
      <c r="J156" s="234">
        <f>C156*E156*G156</f>
        <v>0.189</v>
      </c>
      <c r="K156" s="127" t="s">
        <v>23</v>
      </c>
      <c r="L156" s="127"/>
      <c r="M156" s="127"/>
      <c r="N156" s="127"/>
      <c r="O156" s="127"/>
      <c r="P156" s="127"/>
      <c r="Q156" s="127"/>
      <c r="R156" s="297"/>
      <c r="S156" s="297"/>
    </row>
    <row r="157" spans="1:19">
      <c r="A157" s="294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297"/>
      <c r="S157" s="297"/>
    </row>
    <row r="158" spans="1:19">
      <c r="A158" s="294"/>
      <c r="B158" s="127" t="s">
        <v>954</v>
      </c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297"/>
      <c r="S158" s="297"/>
    </row>
    <row r="159" spans="1:19">
      <c r="A159" s="294"/>
      <c r="B159" s="127"/>
      <c r="C159" s="230" t="s">
        <v>956</v>
      </c>
      <c r="D159" s="234"/>
      <c r="E159" s="230" t="s">
        <v>957</v>
      </c>
      <c r="F159" s="234"/>
      <c r="G159" s="234"/>
      <c r="H159" s="234"/>
      <c r="I159" s="127"/>
      <c r="J159" s="127"/>
      <c r="K159" s="127"/>
      <c r="L159" s="127"/>
      <c r="M159" s="127"/>
      <c r="N159" s="127"/>
      <c r="O159" s="127"/>
      <c r="P159" s="127"/>
      <c r="Q159" s="127"/>
      <c r="R159" s="297"/>
      <c r="S159" s="297"/>
    </row>
    <row r="160" spans="1:19">
      <c r="A160" s="294"/>
      <c r="B160" s="127" t="s">
        <v>955</v>
      </c>
      <c r="C160" s="310" t="str">
        <f>C149</f>
        <v>0,60</v>
      </c>
      <c r="D160" s="234" t="s">
        <v>951</v>
      </c>
      <c r="E160" s="310" t="str">
        <f>C149</f>
        <v>0,60</v>
      </c>
      <c r="F160" s="234" t="s">
        <v>952</v>
      </c>
      <c r="G160" s="234">
        <f>C160*E160</f>
        <v>0.36</v>
      </c>
      <c r="H160" s="127" t="s">
        <v>8</v>
      </c>
      <c r="I160" s="127"/>
      <c r="J160" s="127"/>
      <c r="K160" s="127"/>
      <c r="L160" s="127"/>
      <c r="M160" s="127"/>
      <c r="N160" s="127"/>
      <c r="O160" s="127"/>
      <c r="P160" s="127"/>
      <c r="Q160" s="127"/>
      <c r="R160" s="297"/>
      <c r="S160" s="297"/>
    </row>
    <row r="161" spans="1:20">
      <c r="A161" s="294"/>
      <c r="B161" s="127"/>
      <c r="C161" s="234"/>
      <c r="D161" s="234"/>
      <c r="E161" s="234"/>
      <c r="F161" s="234"/>
      <c r="G161" s="234"/>
      <c r="H161" s="234"/>
      <c r="I161" s="127"/>
      <c r="J161" s="127"/>
      <c r="K161" s="127"/>
      <c r="L161" s="127"/>
      <c r="M161" s="127"/>
      <c r="N161" s="127"/>
      <c r="O161" s="127"/>
      <c r="P161" s="127"/>
      <c r="Q161" s="127"/>
      <c r="R161" s="297"/>
      <c r="S161" s="297"/>
    </row>
    <row r="162" spans="1:20">
      <c r="A162" s="294"/>
      <c r="B162" s="127"/>
      <c r="C162" s="230" t="s">
        <v>958</v>
      </c>
      <c r="D162" s="230"/>
      <c r="E162" s="230" t="s">
        <v>959</v>
      </c>
      <c r="F162" s="230"/>
      <c r="G162" s="230"/>
      <c r="H162" s="234"/>
      <c r="I162" s="127"/>
      <c r="J162" s="127"/>
      <c r="K162" s="127"/>
      <c r="L162" s="127"/>
      <c r="M162" s="127"/>
      <c r="N162" s="127"/>
      <c r="O162" s="127"/>
      <c r="P162" s="127"/>
      <c r="Q162" s="127"/>
      <c r="R162" s="297"/>
      <c r="S162" s="297"/>
    </row>
    <row r="163" spans="1:20">
      <c r="A163" s="294"/>
      <c r="B163" s="127"/>
      <c r="C163" s="310" t="str">
        <f>C151</f>
        <v>0,30</v>
      </c>
      <c r="D163" s="234" t="s">
        <v>951</v>
      </c>
      <c r="E163" s="309">
        <f>C152</f>
        <v>0.15</v>
      </c>
      <c r="F163" s="234" t="s">
        <v>952</v>
      </c>
      <c r="G163" s="309">
        <f>C163*E163</f>
        <v>4.4999999999999998E-2</v>
      </c>
      <c r="H163" s="234" t="s">
        <v>8</v>
      </c>
      <c r="I163" s="127"/>
      <c r="J163" s="127"/>
      <c r="K163" s="127"/>
      <c r="L163" s="127"/>
      <c r="M163" s="127"/>
      <c r="N163" s="127"/>
      <c r="O163" s="127"/>
      <c r="P163" s="127"/>
      <c r="Q163" s="127"/>
      <c r="R163" s="297"/>
      <c r="S163" s="297"/>
    </row>
    <row r="164" spans="1:20">
      <c r="A164" s="294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297"/>
      <c r="S164" s="297"/>
    </row>
    <row r="165" spans="1:20" ht="21" customHeight="1">
      <c r="A165" s="294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297"/>
      <c r="S165" s="297"/>
    </row>
    <row r="166" spans="1:20">
      <c r="A166" s="294"/>
      <c r="B166" s="127" t="s">
        <v>954</v>
      </c>
      <c r="C166" s="312">
        <f>(C153/3)*(G160+G163+(SQRT(G160*G163)))</f>
        <v>1.7742640687119282E-2</v>
      </c>
      <c r="D166" s="127" t="s">
        <v>23</v>
      </c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297"/>
      <c r="S166" s="297"/>
    </row>
    <row r="167" spans="1:20">
      <c r="A167" s="294"/>
      <c r="B167" s="127"/>
      <c r="C167" s="312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297"/>
      <c r="S167" s="297"/>
    </row>
    <row r="168" spans="1:20">
      <c r="A168" s="294"/>
      <c r="B168" s="127" t="s">
        <v>961</v>
      </c>
      <c r="C168" s="312">
        <f>C166+J156</f>
        <v>0.20674264068711928</v>
      </c>
      <c r="D168" s="127" t="s">
        <v>23</v>
      </c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297"/>
      <c r="S168" s="297"/>
      <c r="T168" s="7">
        <f>0.189+0.018</f>
        <v>0.20699999999999999</v>
      </c>
    </row>
    <row r="169" spans="1:20">
      <c r="A169" s="294"/>
      <c r="B169" s="127"/>
      <c r="C169" s="312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297"/>
      <c r="S169" s="297"/>
    </row>
    <row r="170" spans="1:20">
      <c r="A170" s="294"/>
      <c r="B170" s="127"/>
      <c r="C170" s="313" t="s">
        <v>962</v>
      </c>
      <c r="D170" s="234"/>
      <c r="E170" s="234" t="s">
        <v>964</v>
      </c>
      <c r="F170" s="234"/>
      <c r="G170" s="234" t="s">
        <v>953</v>
      </c>
      <c r="H170" s="234"/>
      <c r="I170" s="127"/>
      <c r="J170" s="127"/>
      <c r="K170" s="127"/>
      <c r="L170" s="127"/>
      <c r="M170" s="127"/>
      <c r="N170" s="127"/>
      <c r="O170" s="127"/>
      <c r="P170" s="127"/>
      <c r="Q170" s="127"/>
      <c r="R170" s="297"/>
      <c r="S170" s="297"/>
    </row>
    <row r="171" spans="1:20">
      <c r="A171" s="294"/>
      <c r="B171" s="127" t="s">
        <v>960</v>
      </c>
      <c r="C171" s="313">
        <f>C168</f>
        <v>0.20674264068711928</v>
      </c>
      <c r="D171" s="234" t="s">
        <v>966</v>
      </c>
      <c r="E171" s="234">
        <v>2</v>
      </c>
      <c r="F171" s="234" t="s">
        <v>963</v>
      </c>
      <c r="G171" s="309">
        <f>C171*E171</f>
        <v>0.41348528137423857</v>
      </c>
      <c r="H171" s="234" t="s">
        <v>23</v>
      </c>
      <c r="I171" s="127"/>
      <c r="J171" s="127"/>
      <c r="K171" s="127"/>
      <c r="L171" s="127"/>
      <c r="M171" s="127"/>
      <c r="N171" s="127"/>
      <c r="O171" s="127"/>
      <c r="P171" s="127"/>
      <c r="Q171" s="127"/>
      <c r="R171" s="297"/>
      <c r="S171" s="297"/>
    </row>
    <row r="172" spans="1:20">
      <c r="A172" s="294"/>
      <c r="B172" s="127"/>
      <c r="C172" s="312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297"/>
      <c r="S172" s="297"/>
    </row>
    <row r="173" spans="1:20">
      <c r="A173" s="294"/>
      <c r="B173" s="594" t="s">
        <v>967</v>
      </c>
      <c r="C173" s="594"/>
      <c r="D173" s="594"/>
      <c r="E173" s="594"/>
      <c r="F173" s="594"/>
      <c r="G173" s="594"/>
      <c r="H173" s="594"/>
      <c r="I173" s="594"/>
      <c r="J173" s="594"/>
      <c r="K173" s="594"/>
      <c r="L173" s="594"/>
      <c r="M173" s="594"/>
      <c r="N173" s="594"/>
      <c r="O173" s="594"/>
      <c r="P173" s="594"/>
      <c r="Q173" s="594"/>
      <c r="R173" s="297"/>
      <c r="S173" s="297"/>
    </row>
    <row r="174" spans="1:20">
      <c r="A174" s="294"/>
      <c r="B174" s="298" t="s">
        <v>937</v>
      </c>
      <c r="C174" s="306">
        <v>0.8</v>
      </c>
      <c r="D174" s="298"/>
      <c r="E174" s="298"/>
      <c r="F174" s="298"/>
      <c r="G174" s="298"/>
      <c r="H174" s="298"/>
      <c r="I174" s="298"/>
      <c r="J174" s="298"/>
      <c r="K174" s="298"/>
      <c r="L174" s="298"/>
      <c r="M174" s="298"/>
      <c r="N174" s="298"/>
      <c r="O174" s="298"/>
      <c r="P174" s="298"/>
      <c r="Q174" s="298"/>
      <c r="R174" s="297"/>
      <c r="S174" s="297"/>
    </row>
    <row r="175" spans="1:20">
      <c r="A175" s="294"/>
      <c r="B175" s="298" t="s">
        <v>938</v>
      </c>
      <c r="C175" s="306">
        <v>0.6</v>
      </c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  <c r="N175" s="298"/>
      <c r="O175" s="298"/>
      <c r="P175" s="298"/>
      <c r="Q175" s="298"/>
      <c r="R175" s="297"/>
      <c r="S175" s="297"/>
    </row>
    <row r="176" spans="1:20">
      <c r="A176" s="294"/>
      <c r="B176" s="298" t="s">
        <v>939</v>
      </c>
      <c r="C176" s="306">
        <v>0.6</v>
      </c>
      <c r="D176" s="298"/>
      <c r="E176" s="298"/>
      <c r="F176" s="298"/>
      <c r="G176" s="298"/>
      <c r="H176" s="298"/>
      <c r="I176" s="298"/>
      <c r="J176" s="298"/>
      <c r="K176" s="298"/>
      <c r="L176" s="298"/>
      <c r="M176" s="298"/>
      <c r="N176" s="298"/>
      <c r="O176" s="298"/>
      <c r="P176" s="298"/>
      <c r="Q176" s="298"/>
      <c r="R176" s="297"/>
      <c r="S176" s="297"/>
    </row>
    <row r="177" spans="1:19">
      <c r="A177" s="294"/>
      <c r="B177" s="298" t="s">
        <v>940</v>
      </c>
      <c r="C177" s="306">
        <v>0.4</v>
      </c>
      <c r="D177" s="298"/>
      <c r="E177" s="298"/>
      <c r="F177" s="298"/>
      <c r="G177" s="298"/>
      <c r="H177" s="298"/>
      <c r="I177" s="298"/>
      <c r="J177" s="298"/>
      <c r="K177" s="298"/>
      <c r="L177" s="298"/>
      <c r="M177" s="298"/>
      <c r="N177" s="298"/>
      <c r="O177" s="298"/>
      <c r="P177" s="298"/>
      <c r="Q177" s="298"/>
      <c r="R177" s="297"/>
      <c r="S177" s="297"/>
    </row>
    <row r="178" spans="1:19">
      <c r="A178" s="294"/>
      <c r="B178" s="298" t="s">
        <v>941</v>
      </c>
      <c r="C178" s="306">
        <v>0.2</v>
      </c>
      <c r="D178" s="298"/>
      <c r="E178" s="298"/>
      <c r="F178" s="298"/>
      <c r="G178" s="298"/>
      <c r="H178" s="298"/>
      <c r="I178" s="298"/>
      <c r="J178" s="298"/>
      <c r="K178" s="298"/>
      <c r="L178" s="298"/>
      <c r="M178" s="298"/>
      <c r="N178" s="298"/>
      <c r="O178" s="298"/>
      <c r="P178" s="298"/>
      <c r="Q178" s="298"/>
      <c r="R178" s="297"/>
      <c r="S178" s="297"/>
    </row>
    <row r="179" spans="1:19">
      <c r="A179" s="294"/>
      <c r="B179" s="298" t="s">
        <v>942</v>
      </c>
      <c r="C179" s="307" t="s">
        <v>947</v>
      </c>
      <c r="D179" s="298"/>
      <c r="E179" s="298"/>
      <c r="F179" s="298"/>
      <c r="G179" s="298"/>
      <c r="H179" s="298"/>
      <c r="I179" s="298"/>
      <c r="J179" s="298"/>
      <c r="K179" s="298"/>
      <c r="L179" s="298"/>
      <c r="M179" s="298"/>
      <c r="N179" s="298"/>
      <c r="O179" s="298"/>
      <c r="P179" s="298"/>
      <c r="Q179" s="298"/>
      <c r="R179" s="297"/>
      <c r="S179" s="297"/>
    </row>
    <row r="180" spans="1:19">
      <c r="A180" s="294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297"/>
      <c r="S180" s="297"/>
    </row>
    <row r="181" spans="1:19">
      <c r="A181" s="294"/>
      <c r="B181" s="127"/>
      <c r="C181" s="311" t="s">
        <v>949</v>
      </c>
      <c r="D181" s="127"/>
      <c r="E181" s="311" t="s">
        <v>950</v>
      </c>
      <c r="F181" s="127"/>
      <c r="G181" s="311" t="s">
        <v>939</v>
      </c>
      <c r="H181" s="127"/>
      <c r="I181" s="127"/>
      <c r="J181" s="127" t="s">
        <v>953</v>
      </c>
      <c r="K181" s="127"/>
      <c r="L181" s="127"/>
      <c r="M181" s="127"/>
      <c r="N181" s="127"/>
      <c r="O181" s="127"/>
      <c r="P181" s="127"/>
      <c r="Q181" s="127"/>
      <c r="R181" s="297"/>
      <c r="S181" s="297"/>
    </row>
    <row r="182" spans="1:19">
      <c r="A182" s="294"/>
      <c r="B182" s="127" t="s">
        <v>948</v>
      </c>
      <c r="C182" s="299">
        <f>C174</f>
        <v>0.8</v>
      </c>
      <c r="D182" s="234" t="s">
        <v>951</v>
      </c>
      <c r="E182" s="299">
        <f>C175</f>
        <v>0.6</v>
      </c>
      <c r="F182" s="234" t="s">
        <v>951</v>
      </c>
      <c r="G182" s="299">
        <f>C176</f>
        <v>0.6</v>
      </c>
      <c r="H182" s="234"/>
      <c r="I182" s="234" t="s">
        <v>952</v>
      </c>
      <c r="J182" s="234">
        <f>C182*E182*G182</f>
        <v>0.28799999999999998</v>
      </c>
      <c r="K182" s="127" t="s">
        <v>23</v>
      </c>
      <c r="L182" s="127"/>
      <c r="M182" s="127"/>
      <c r="N182" s="127"/>
      <c r="O182" s="127"/>
      <c r="P182" s="127"/>
      <c r="Q182" s="127"/>
      <c r="R182" s="297"/>
      <c r="S182" s="297"/>
    </row>
    <row r="183" spans="1:19">
      <c r="A183" s="294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297"/>
      <c r="S183" s="297"/>
    </row>
    <row r="184" spans="1:19">
      <c r="A184" s="294"/>
      <c r="B184" s="127" t="s">
        <v>954</v>
      </c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297"/>
      <c r="S184" s="297"/>
    </row>
    <row r="185" spans="1:19">
      <c r="A185" s="294"/>
      <c r="B185" s="127"/>
      <c r="C185" s="230" t="s">
        <v>956</v>
      </c>
      <c r="D185" s="234"/>
      <c r="E185" s="230" t="s">
        <v>957</v>
      </c>
      <c r="F185" s="234"/>
      <c r="G185" s="234"/>
      <c r="H185" s="234"/>
      <c r="I185" s="127"/>
      <c r="J185" s="127"/>
      <c r="K185" s="127"/>
      <c r="L185" s="127"/>
      <c r="M185" s="127"/>
      <c r="N185" s="127"/>
      <c r="O185" s="127"/>
      <c r="P185" s="127"/>
      <c r="Q185" s="127"/>
      <c r="R185" s="297"/>
      <c r="S185" s="297"/>
    </row>
    <row r="186" spans="1:19">
      <c r="A186" s="294"/>
      <c r="B186" s="127" t="s">
        <v>955</v>
      </c>
      <c r="C186" s="309">
        <f>C175</f>
        <v>0.6</v>
      </c>
      <c r="D186" s="234" t="s">
        <v>951</v>
      </c>
      <c r="E186" s="309">
        <f>C175</f>
        <v>0.6</v>
      </c>
      <c r="F186" s="234" t="s">
        <v>952</v>
      </c>
      <c r="G186" s="309">
        <f>C186*E186</f>
        <v>0.36</v>
      </c>
      <c r="H186" s="127" t="s">
        <v>8</v>
      </c>
      <c r="I186" s="127"/>
      <c r="J186" s="127"/>
      <c r="K186" s="127"/>
      <c r="L186" s="127"/>
      <c r="M186" s="127"/>
      <c r="N186" s="127"/>
      <c r="O186" s="127"/>
      <c r="P186" s="127"/>
      <c r="Q186" s="127"/>
      <c r="R186" s="297"/>
      <c r="S186" s="297"/>
    </row>
    <row r="187" spans="1:19">
      <c r="A187" s="294"/>
      <c r="B187" s="127"/>
      <c r="C187" s="234"/>
      <c r="D187" s="234"/>
      <c r="E187" s="234"/>
      <c r="F187" s="234"/>
      <c r="G187" s="234"/>
      <c r="H187" s="234"/>
      <c r="I187" s="127"/>
      <c r="J187" s="127"/>
      <c r="K187" s="127"/>
      <c r="L187" s="127"/>
      <c r="M187" s="127"/>
      <c r="N187" s="127"/>
      <c r="O187" s="127"/>
      <c r="P187" s="127"/>
      <c r="Q187" s="127"/>
      <c r="R187" s="297"/>
      <c r="S187" s="297"/>
    </row>
    <row r="188" spans="1:19">
      <c r="A188" s="294"/>
      <c r="B188" s="127"/>
      <c r="C188" s="230" t="s">
        <v>958</v>
      </c>
      <c r="D188" s="230"/>
      <c r="E188" s="230" t="s">
        <v>959</v>
      </c>
      <c r="F188" s="230"/>
      <c r="G188" s="230"/>
      <c r="H188" s="234"/>
      <c r="I188" s="127"/>
      <c r="J188" s="127"/>
      <c r="K188" s="127"/>
      <c r="L188" s="127"/>
      <c r="M188" s="127"/>
      <c r="N188" s="127"/>
      <c r="O188" s="127"/>
      <c r="P188" s="127"/>
      <c r="Q188" s="127"/>
      <c r="R188" s="297"/>
      <c r="S188" s="297"/>
    </row>
    <row r="189" spans="1:19">
      <c r="A189" s="294"/>
      <c r="B189" s="127"/>
      <c r="C189" s="309">
        <f>C177</f>
        <v>0.4</v>
      </c>
      <c r="D189" s="234" t="s">
        <v>951</v>
      </c>
      <c r="E189" s="309">
        <f>C178</f>
        <v>0.2</v>
      </c>
      <c r="F189" s="234" t="s">
        <v>952</v>
      </c>
      <c r="G189" s="309">
        <f>C189*E189</f>
        <v>8.0000000000000016E-2</v>
      </c>
      <c r="H189" s="234" t="s">
        <v>8</v>
      </c>
      <c r="I189" s="127"/>
      <c r="J189" s="127"/>
      <c r="K189" s="127"/>
      <c r="L189" s="127"/>
      <c r="M189" s="127"/>
      <c r="N189" s="127"/>
      <c r="O189" s="127"/>
      <c r="P189" s="127"/>
      <c r="Q189" s="127"/>
      <c r="R189" s="297"/>
      <c r="S189" s="297"/>
    </row>
    <row r="190" spans="1:19">
      <c r="A190" s="294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297"/>
      <c r="S190" s="297"/>
    </row>
    <row r="191" spans="1:19" ht="21" customHeight="1">
      <c r="A191" s="294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297"/>
      <c r="S191" s="297"/>
    </row>
    <row r="192" spans="1:19">
      <c r="A192" s="294"/>
      <c r="B192" s="127" t="s">
        <v>954</v>
      </c>
      <c r="C192" s="312">
        <f>(C179/3)*(G186+G189+(SQRT(G186*G189)))</f>
        <v>2.0323520916159046E-2</v>
      </c>
      <c r="D192" s="127" t="s">
        <v>23</v>
      </c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297"/>
      <c r="S192" s="297"/>
    </row>
    <row r="193" spans="1:19">
      <c r="A193" s="294"/>
      <c r="B193" s="127"/>
      <c r="C193" s="312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297"/>
      <c r="S193" s="297"/>
    </row>
    <row r="194" spans="1:19">
      <c r="A194" s="294"/>
      <c r="B194" s="127" t="s">
        <v>961</v>
      </c>
      <c r="C194" s="312">
        <f>C192+J182</f>
        <v>0.308323520916159</v>
      </c>
      <c r="D194" s="127" t="s">
        <v>23</v>
      </c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297"/>
      <c r="S194" s="297"/>
    </row>
    <row r="195" spans="1:19">
      <c r="A195" s="294"/>
      <c r="B195" s="127"/>
      <c r="C195" s="312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297"/>
      <c r="S195" s="297"/>
    </row>
    <row r="196" spans="1:19">
      <c r="A196" s="294"/>
      <c r="B196" s="127"/>
      <c r="C196" s="313" t="s">
        <v>962</v>
      </c>
      <c r="D196" s="234"/>
      <c r="E196" s="234" t="s">
        <v>964</v>
      </c>
      <c r="F196" s="234"/>
      <c r="G196" s="234" t="s">
        <v>953</v>
      </c>
      <c r="H196" s="234"/>
      <c r="I196" s="127"/>
      <c r="J196" s="127"/>
      <c r="K196" s="127"/>
      <c r="L196" s="127"/>
      <c r="M196" s="127"/>
      <c r="N196" s="127"/>
      <c r="O196" s="127"/>
      <c r="P196" s="127"/>
      <c r="Q196" s="127"/>
      <c r="R196" s="297"/>
      <c r="S196" s="297"/>
    </row>
    <row r="197" spans="1:19">
      <c r="A197" s="294"/>
      <c r="B197" s="127" t="s">
        <v>960</v>
      </c>
      <c r="C197" s="313">
        <f>C194</f>
        <v>0.308323520916159</v>
      </c>
      <c r="D197" s="234" t="s">
        <v>966</v>
      </c>
      <c r="E197" s="234">
        <v>2</v>
      </c>
      <c r="F197" s="234" t="s">
        <v>963</v>
      </c>
      <c r="G197" s="309">
        <f>C197*E197</f>
        <v>0.616647041832318</v>
      </c>
      <c r="H197" s="234" t="s">
        <v>23</v>
      </c>
      <c r="I197" s="127"/>
      <c r="J197" s="127"/>
      <c r="K197" s="127"/>
      <c r="L197" s="127"/>
      <c r="M197" s="127"/>
      <c r="N197" s="127"/>
      <c r="O197" s="127"/>
      <c r="P197" s="127"/>
      <c r="Q197" s="127"/>
      <c r="R197" s="297"/>
      <c r="S197" s="297"/>
    </row>
    <row r="198" spans="1:19">
      <c r="A198" s="294"/>
      <c r="B198" s="127"/>
      <c r="C198" s="312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297"/>
      <c r="S198" s="297"/>
    </row>
    <row r="199" spans="1:19">
      <c r="A199" s="294"/>
      <c r="B199" s="127"/>
      <c r="C199" s="312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297"/>
      <c r="S199" s="297"/>
    </row>
    <row r="200" spans="1:19">
      <c r="A200" s="294"/>
      <c r="B200" s="322" t="s">
        <v>960</v>
      </c>
      <c r="C200" s="323">
        <f>ROUND((G197+G171+G145+G119+G93),2)</f>
        <v>10.59</v>
      </c>
      <c r="D200" s="323" t="s">
        <v>23</v>
      </c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297"/>
      <c r="S200" s="297"/>
    </row>
    <row r="201" spans="1:19">
      <c r="A201" s="294"/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97"/>
      <c r="S201" s="297"/>
    </row>
    <row r="202" spans="1:19" ht="12.75" customHeight="1">
      <c r="A202" s="328" t="s">
        <v>578</v>
      </c>
      <c r="B202" s="593" t="s">
        <v>968</v>
      </c>
      <c r="C202" s="593"/>
      <c r="D202" s="593"/>
      <c r="E202" s="593"/>
      <c r="F202" s="593"/>
      <c r="G202" s="593"/>
      <c r="H202" s="593"/>
      <c r="I202" s="593"/>
      <c r="J202" s="593"/>
      <c r="K202" s="593"/>
      <c r="L202" s="593"/>
      <c r="M202" s="593"/>
      <c r="N202" s="593"/>
      <c r="O202" s="593"/>
      <c r="P202" s="593"/>
      <c r="Q202" s="593"/>
      <c r="R202" s="324">
        <f>R67</f>
        <v>10.59</v>
      </c>
      <c r="S202" s="325" t="s">
        <v>23</v>
      </c>
    </row>
    <row r="203" spans="1:19">
      <c r="A203" s="294"/>
      <c r="B203" s="308" t="s">
        <v>965</v>
      </c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  <c r="Q203" s="298"/>
      <c r="R203" s="297"/>
      <c r="S203" s="297"/>
    </row>
    <row r="204" spans="1:19">
      <c r="A204" s="294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97"/>
      <c r="S204" s="297"/>
    </row>
    <row r="205" spans="1:19" ht="12.75" customHeight="1">
      <c r="A205" s="329" t="str">
        <f>'BM 01'!A101</f>
        <v>7.0</v>
      </c>
      <c r="B205" s="590" t="str">
        <f>'BM 01'!B101</f>
        <v>IMPERMEABILIZAÇÕES</v>
      </c>
      <c r="C205" s="590"/>
      <c r="D205" s="590"/>
      <c r="E205" s="590"/>
      <c r="F205" s="590"/>
      <c r="G205" s="590"/>
      <c r="H205" s="590"/>
      <c r="I205" s="590"/>
      <c r="J205" s="590"/>
      <c r="K205" s="590"/>
      <c r="L205" s="590"/>
      <c r="M205" s="590"/>
      <c r="N205" s="590"/>
      <c r="O205" s="590"/>
      <c r="P205" s="590"/>
      <c r="Q205" s="590"/>
      <c r="R205" s="296"/>
      <c r="S205" s="296"/>
    </row>
    <row r="206" spans="1:19" ht="12.75" customHeight="1">
      <c r="A206" s="328" t="str">
        <f>'BM 01'!A102</f>
        <v>7.1</v>
      </c>
      <c r="B206" s="593" t="str">
        <f>'BM 01'!B102</f>
        <v>Impermeabilização de estruturas enterradas, com tinta asfáltica, duas demãos</v>
      </c>
      <c r="C206" s="593"/>
      <c r="D206" s="593"/>
      <c r="E206" s="593"/>
      <c r="F206" s="593"/>
      <c r="G206" s="593"/>
      <c r="H206" s="593"/>
      <c r="I206" s="593"/>
      <c r="J206" s="593"/>
      <c r="K206" s="593"/>
      <c r="L206" s="593"/>
      <c r="M206" s="593"/>
      <c r="N206" s="593"/>
      <c r="O206" s="593"/>
      <c r="P206" s="593"/>
      <c r="Q206" s="593"/>
      <c r="R206" s="325">
        <f>R207</f>
        <v>62.849999999999987</v>
      </c>
      <c r="S206" s="327" t="s">
        <v>8</v>
      </c>
    </row>
    <row r="207" spans="1:19">
      <c r="B207" s="7" t="s">
        <v>904</v>
      </c>
      <c r="R207" s="299">
        <f>R35</f>
        <v>62.849999999999987</v>
      </c>
      <c r="S207" s="234" t="s">
        <v>8</v>
      </c>
    </row>
  </sheetData>
  <mergeCells count="55">
    <mergeCell ref="B7:Q7"/>
    <mergeCell ref="B23:Q23"/>
    <mergeCell ref="A2:S2"/>
    <mergeCell ref="A3:S3"/>
    <mergeCell ref="A4:S5"/>
    <mergeCell ref="A6:S6"/>
    <mergeCell ref="B8:Q8"/>
    <mergeCell ref="B9:Q9"/>
    <mergeCell ref="B10:Q10"/>
    <mergeCell ref="B17:Q17"/>
    <mergeCell ref="B18:Q18"/>
    <mergeCell ref="B19:Q19"/>
    <mergeCell ref="B20:Q20"/>
    <mergeCell ref="B12:Q12"/>
    <mergeCell ref="B15:Q15"/>
    <mergeCell ref="B16:Q16"/>
    <mergeCell ref="B13:Q13"/>
    <mergeCell ref="B64:Q64"/>
    <mergeCell ref="B67:Q67"/>
    <mergeCell ref="B202:Q202"/>
    <mergeCell ref="B206:Q206"/>
    <mergeCell ref="B205:Q205"/>
    <mergeCell ref="B69:Q69"/>
    <mergeCell ref="B95:Q95"/>
    <mergeCell ref="B121:Q121"/>
    <mergeCell ref="B147:Q147"/>
    <mergeCell ref="B173:Q173"/>
    <mergeCell ref="B35:Q35"/>
    <mergeCell ref="B27:Q27"/>
    <mergeCell ref="B30:Q30"/>
    <mergeCell ref="B33:Q33"/>
    <mergeCell ref="B61:Q61"/>
    <mergeCell ref="B46:Q46"/>
    <mergeCell ref="B49:Q49"/>
    <mergeCell ref="B52:Q52"/>
    <mergeCell ref="B55:Q55"/>
    <mergeCell ref="B58:Q58"/>
    <mergeCell ref="B47:Q47"/>
    <mergeCell ref="B48:Q48"/>
    <mergeCell ref="B24:Q24"/>
    <mergeCell ref="B21:Q21"/>
    <mergeCell ref="B22:Q22"/>
    <mergeCell ref="B44:Q44"/>
    <mergeCell ref="B45:Q45"/>
    <mergeCell ref="B37:Q37"/>
    <mergeCell ref="B38:Q38"/>
    <mergeCell ref="B39:Q39"/>
    <mergeCell ref="B40:Q40"/>
    <mergeCell ref="B41:Q41"/>
    <mergeCell ref="B42:Q42"/>
    <mergeCell ref="B43:Q43"/>
    <mergeCell ref="B25:Q25"/>
    <mergeCell ref="B26:Q26"/>
    <mergeCell ref="B29:Q29"/>
    <mergeCell ref="B32:Q32"/>
  </mergeCells>
  <conditionalFormatting sqref="R7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>
    <oddFooter>&amp;C&amp;P / &amp;N</oddFooter>
  </headerFooter>
  <rowBreaks count="2" manualBreakCount="2">
    <brk id="106" max="18" man="1"/>
    <brk id="17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PLAN. ORÇAMENTO</vt:lpstr>
      <vt:lpstr>MEMÓRIA MED 9</vt:lpstr>
      <vt:lpstr>RESUMO MEDIÇÃO</vt:lpstr>
      <vt:lpstr>BM 01</vt:lpstr>
      <vt:lpstr>BM 04</vt:lpstr>
      <vt:lpstr>MEMÓRIA DE CÁLCULO</vt:lpstr>
      <vt:lpstr>'BM 01'!Area_de_impressao</vt:lpstr>
      <vt:lpstr>'BM 04'!Area_de_impressao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'BM 04'!Titulos_de_impressao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2022-07-20T12:29:21Z</cp:lastPrinted>
  <dcterms:created xsi:type="dcterms:W3CDTF">2016-07-06T18:05:12Z</dcterms:created>
  <dcterms:modified xsi:type="dcterms:W3CDTF">2024-08-22T12:52:56Z</dcterms:modified>
</cp:coreProperties>
</file>