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MEDIÇÕES DA UBS COMERCIAL NORTE\"/>
    </mc:Choice>
  </mc:AlternateContent>
  <xr:revisionPtr revIDLastSave="0" documentId="13_ncr:1_{5CC025FD-284E-44A6-9138-07583DD373DE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PLAN. ORÇAMENTO" sheetId="1" state="hidden" r:id="rId1"/>
    <sheet name="MEMÓRIA MED 9" sheetId="2" state="hidden" r:id="rId2"/>
    <sheet name="RESUMO MEDIÇÃO" sheetId="3" state="hidden" r:id="rId3"/>
    <sheet name="BM 04" sheetId="5" r:id="rId4"/>
    <sheet name="MEMÓRIA DE CÁLCULO" sheetId="6" r:id="rId5"/>
  </sheets>
  <externalReferences>
    <externalReference r:id="rId6"/>
    <externalReference r:id="rId7"/>
  </externalReferences>
  <definedNames>
    <definedName name="_xlnm._FilterDatabase" localSheetId="0" hidden="1">'PLAN. ORÇAMENTO'!$A$25:$AB$239</definedName>
    <definedName name="_xlnm.Print_Area" localSheetId="3">'BM 04'!$A$1:$M$268</definedName>
    <definedName name="_xlnm.Print_Area" localSheetId="4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04'!$1:$15</definedName>
    <definedName name="_xlnm.Print_Titles" localSheetId="4">'MEMÓRIA DE CÁLCULO'!$1:$7</definedName>
    <definedName name="_xlnm.Print_Titles" localSheetId="0">'PLAN. ORÇAMENTO'!$1:$25</definedName>
  </definedNames>
  <calcPr calcId="191029"/>
</workbook>
</file>

<file path=xl/calcChain.xml><?xml version="1.0" encoding="utf-8"?>
<calcChain xmlns="http://schemas.openxmlformats.org/spreadsheetml/2006/main">
  <c r="I243" i="5" l="1"/>
  <c r="H73" i="5" l="1"/>
  <c r="L73" i="5" s="1"/>
  <c r="I73" i="5" l="1"/>
  <c r="M73" i="5" s="1"/>
  <c r="M243" i="5" l="1"/>
  <c r="L243" i="5"/>
  <c r="K82" i="5"/>
  <c r="K83" i="5"/>
  <c r="K84" i="5"/>
  <c r="K81" i="5"/>
  <c r="K80" i="5" s="1"/>
  <c r="K79" i="5"/>
  <c r="I87" i="5"/>
  <c r="I79" i="5"/>
  <c r="I59" i="5"/>
  <c r="I57" i="5"/>
  <c r="I55" i="5"/>
  <c r="I54" i="5"/>
  <c r="I53" i="5"/>
  <c r="M68" i="5"/>
  <c r="M87" i="5" l="1"/>
  <c r="M86" i="5" s="1"/>
  <c r="L87" i="5"/>
  <c r="M79" i="5"/>
  <c r="L79" i="5"/>
  <c r="M78" i="5"/>
  <c r="L78" i="5"/>
  <c r="M77" i="5"/>
  <c r="L77" i="5"/>
  <c r="M75" i="5"/>
  <c r="L75" i="5"/>
  <c r="M71" i="5"/>
  <c r="L71" i="5"/>
  <c r="L61" i="5" s="1"/>
  <c r="I60" i="5"/>
  <c r="M60" i="5" s="1"/>
  <c r="M59" i="5"/>
  <c r="L60" i="5"/>
  <c r="L59" i="5"/>
  <c r="L57" i="5"/>
  <c r="M55" i="5"/>
  <c r="L55" i="5"/>
  <c r="L54" i="5"/>
  <c r="M54" i="5"/>
  <c r="L53" i="5"/>
  <c r="L16" i="5"/>
  <c r="F17" i="5"/>
  <c r="M17" i="5"/>
  <c r="F18" i="5"/>
  <c r="F19" i="5"/>
  <c r="M19" i="5"/>
  <c r="E20" i="5"/>
  <c r="L22" i="5"/>
  <c r="F23" i="5"/>
  <c r="G23" i="5"/>
  <c r="K23" i="5" s="1"/>
  <c r="M23" i="5"/>
  <c r="M22" i="5" s="1"/>
  <c r="F24" i="5"/>
  <c r="I24" i="5"/>
  <c r="K24" i="5"/>
  <c r="L27" i="5"/>
  <c r="F28" i="5"/>
  <c r="K28" i="5"/>
  <c r="F29" i="5"/>
  <c r="M29" i="5"/>
  <c r="F30" i="5"/>
  <c r="K30" i="5"/>
  <c r="M30" i="5" s="1"/>
  <c r="F31" i="5"/>
  <c r="K31" i="5"/>
  <c r="M31" i="5" s="1"/>
  <c r="F32" i="5"/>
  <c r="M32" i="5"/>
  <c r="F33" i="5"/>
  <c r="M33" i="5"/>
  <c r="F34" i="5"/>
  <c r="M34" i="5"/>
  <c r="F35" i="5"/>
  <c r="M35" i="5"/>
  <c r="F36" i="5"/>
  <c r="M36" i="5"/>
  <c r="F37" i="5"/>
  <c r="M37" i="5"/>
  <c r="F38" i="5"/>
  <c r="M38" i="5"/>
  <c r="F39" i="5"/>
  <c r="G39" i="5"/>
  <c r="I39" i="5" s="1"/>
  <c r="K39" i="5"/>
  <c r="M39" i="5"/>
  <c r="F40" i="5"/>
  <c r="G40" i="5"/>
  <c r="I40" i="5" s="1"/>
  <c r="K40" i="5"/>
  <c r="M40" i="5" s="1"/>
  <c r="F41" i="5"/>
  <c r="K41" i="5"/>
  <c r="M41" i="5" s="1"/>
  <c r="L42" i="5"/>
  <c r="F43" i="5"/>
  <c r="F42" i="5" s="1"/>
  <c r="I43" i="5"/>
  <c r="K43" i="5"/>
  <c r="K42" i="5" s="1"/>
  <c r="M43" i="5"/>
  <c r="M42" i="5" s="1"/>
  <c r="L44" i="5"/>
  <c r="F45" i="5"/>
  <c r="I45" i="5"/>
  <c r="K45" i="5"/>
  <c r="F46" i="5"/>
  <c r="I46" i="5"/>
  <c r="K46" i="5"/>
  <c r="M46" i="5" s="1"/>
  <c r="F47" i="5"/>
  <c r="I47" i="5"/>
  <c r="K47" i="5"/>
  <c r="M47" i="5" s="1"/>
  <c r="F48" i="5"/>
  <c r="I48" i="5"/>
  <c r="K48" i="5"/>
  <c r="M48" i="5" s="1"/>
  <c r="F49" i="5"/>
  <c r="I49" i="5"/>
  <c r="K49" i="5"/>
  <c r="M49" i="5" s="1"/>
  <c r="F53" i="5"/>
  <c r="G53" i="5"/>
  <c r="K53" i="5" s="1"/>
  <c r="M53" i="5"/>
  <c r="M52" i="5" s="1"/>
  <c r="F54" i="5"/>
  <c r="G54" i="5"/>
  <c r="K54" i="5" s="1"/>
  <c r="F55" i="5"/>
  <c r="G55" i="5"/>
  <c r="K55" i="5" s="1"/>
  <c r="F56" i="5"/>
  <c r="I56" i="5"/>
  <c r="M56" i="5" s="1"/>
  <c r="K56" i="5"/>
  <c r="F57" i="5"/>
  <c r="G57" i="5"/>
  <c r="K57" i="5"/>
  <c r="M57" i="5"/>
  <c r="F58" i="5"/>
  <c r="M58" i="5"/>
  <c r="F59" i="5"/>
  <c r="K59" i="5"/>
  <c r="F60" i="5"/>
  <c r="G60" i="5"/>
  <c r="K60" i="5"/>
  <c r="F62" i="5"/>
  <c r="K62" i="5"/>
  <c r="L62" i="5"/>
  <c r="I62" i="5"/>
  <c r="M62" i="5" s="1"/>
  <c r="F63" i="5"/>
  <c r="L63" i="5"/>
  <c r="I63" i="5"/>
  <c r="M63" i="5" s="1"/>
  <c r="K63" i="5"/>
  <c r="F64" i="5"/>
  <c r="I64" i="5"/>
  <c r="K64" i="5"/>
  <c r="L64" i="5"/>
  <c r="M64" i="5"/>
  <c r="F65" i="5"/>
  <c r="K65" i="5"/>
  <c r="L65" i="5"/>
  <c r="I65" i="5"/>
  <c r="M65" i="5" s="1"/>
  <c r="F66" i="5"/>
  <c r="I66" i="5"/>
  <c r="M66" i="5" s="1"/>
  <c r="K66" i="5"/>
  <c r="L66" i="5"/>
  <c r="F67" i="5"/>
  <c r="L67" i="5"/>
  <c r="I67" i="5"/>
  <c r="K67" i="5" s="1"/>
  <c r="F68" i="5"/>
  <c r="L68" i="5"/>
  <c r="F69" i="5"/>
  <c r="I69" i="5"/>
  <c r="K69" i="5"/>
  <c r="L69" i="5"/>
  <c r="M69" i="5"/>
  <c r="F70" i="5"/>
  <c r="L70" i="5"/>
  <c r="I70" i="5"/>
  <c r="K70" i="5"/>
  <c r="M70" i="5"/>
  <c r="F71" i="5"/>
  <c r="K72" i="5"/>
  <c r="F73" i="5"/>
  <c r="F74" i="5"/>
  <c r="F75" i="5"/>
  <c r="F76" i="5"/>
  <c r="F77" i="5"/>
  <c r="F78" i="5"/>
  <c r="F79" i="5"/>
  <c r="F81" i="5"/>
  <c r="L81" i="5"/>
  <c r="F82" i="5"/>
  <c r="M82" i="5"/>
  <c r="L82" i="5"/>
  <c r="F83" i="5"/>
  <c r="M83" i="5"/>
  <c r="L83" i="5"/>
  <c r="F84" i="5"/>
  <c r="K86" i="5"/>
  <c r="L86" i="5"/>
  <c r="F87" i="5"/>
  <c r="F86" i="5" s="1"/>
  <c r="K87" i="5"/>
  <c r="K90" i="5"/>
  <c r="L90" i="5"/>
  <c r="M90" i="5"/>
  <c r="F91" i="5"/>
  <c r="F92" i="5"/>
  <c r="F93" i="5"/>
  <c r="F94" i="5"/>
  <c r="K95" i="5"/>
  <c r="K89" i="5" s="1"/>
  <c r="L95" i="5"/>
  <c r="M95" i="5"/>
  <c r="F96" i="5"/>
  <c r="F97" i="5"/>
  <c r="K98" i="5"/>
  <c r="L98" i="5"/>
  <c r="M98" i="5"/>
  <c r="F99" i="5"/>
  <c r="F98" i="5" s="1"/>
  <c r="K101" i="5"/>
  <c r="L101" i="5"/>
  <c r="F102" i="5"/>
  <c r="I102" i="5"/>
  <c r="M102" i="5"/>
  <c r="M101" i="5" s="1"/>
  <c r="F103" i="5"/>
  <c r="K106" i="5"/>
  <c r="K105" i="5" s="1"/>
  <c r="L106" i="5"/>
  <c r="M106" i="5"/>
  <c r="M105" i="5" s="1"/>
  <c r="F107" i="5"/>
  <c r="F108" i="5"/>
  <c r="F109" i="5"/>
  <c r="F110" i="5"/>
  <c r="F111" i="5"/>
  <c r="F112" i="5"/>
  <c r="F113" i="5"/>
  <c r="F114" i="5"/>
  <c r="K115" i="5"/>
  <c r="L115" i="5"/>
  <c r="M115" i="5"/>
  <c r="F116" i="5"/>
  <c r="F115" i="5" s="1"/>
  <c r="F117" i="5"/>
  <c r="K119" i="5"/>
  <c r="L119" i="5"/>
  <c r="M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K158" i="5"/>
  <c r="L158" i="5"/>
  <c r="M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K173" i="5"/>
  <c r="L173" i="5"/>
  <c r="M173" i="5"/>
  <c r="F174" i="5"/>
  <c r="F175" i="5"/>
  <c r="F176" i="5"/>
  <c r="F177" i="5"/>
  <c r="F178" i="5"/>
  <c r="K179" i="5"/>
  <c r="L179" i="5"/>
  <c r="M179" i="5"/>
  <c r="F180" i="5"/>
  <c r="F181" i="5"/>
  <c r="F182" i="5"/>
  <c r="F183" i="5"/>
  <c r="F184" i="5"/>
  <c r="F185" i="5"/>
  <c r="F186" i="5"/>
  <c r="F187" i="5"/>
  <c r="F188" i="5"/>
  <c r="K189" i="5"/>
  <c r="L189" i="5"/>
  <c r="M189" i="5"/>
  <c r="F190" i="5"/>
  <c r="F191" i="5"/>
  <c r="F192" i="5"/>
  <c r="K194" i="5"/>
  <c r="L194" i="5"/>
  <c r="M194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E232" i="5"/>
  <c r="F232" i="5"/>
  <c r="K234" i="5"/>
  <c r="L234" i="5"/>
  <c r="M234" i="5"/>
  <c r="F235" i="5"/>
  <c r="F236" i="5"/>
  <c r="F237" i="5"/>
  <c r="F238" i="5"/>
  <c r="F239" i="5"/>
  <c r="F242" i="5"/>
  <c r="K242" i="5"/>
  <c r="K241" i="5" s="1"/>
  <c r="M242" i="5"/>
  <c r="F243" i="5"/>
  <c r="L241" i="5"/>
  <c r="F244" i="5"/>
  <c r="F245" i="5"/>
  <c r="L247" i="5"/>
  <c r="M247" i="5"/>
  <c r="F248" i="5"/>
  <c r="K248" i="5"/>
  <c r="K247" i="5" s="1"/>
  <c r="M248" i="5"/>
  <c r="F249" i="5"/>
  <c r="F251" i="5"/>
  <c r="F252" i="5"/>
  <c r="F247" i="5" s="1"/>
  <c r="F253" i="5"/>
  <c r="K256" i="5"/>
  <c r="L256" i="5"/>
  <c r="M256" i="5"/>
  <c r="F257" i="5"/>
  <c r="F256" i="5" s="1"/>
  <c r="K260" i="5"/>
  <c r="L260" i="5"/>
  <c r="M260" i="5"/>
  <c r="F261" i="5"/>
  <c r="F262" i="5"/>
  <c r="K264" i="5"/>
  <c r="L264" i="5"/>
  <c r="M264" i="5"/>
  <c r="F265" i="5"/>
  <c r="F266" i="5"/>
  <c r="F267" i="5"/>
  <c r="A15" i="6"/>
  <c r="B15" i="6"/>
  <c r="A16" i="6"/>
  <c r="B16" i="6"/>
  <c r="T19" i="6"/>
  <c r="R22" i="6"/>
  <c r="R16" i="6" s="1"/>
  <c r="R27" i="6"/>
  <c r="R26" i="6" s="1"/>
  <c r="R38" i="6"/>
  <c r="R40" i="6"/>
  <c r="R42" i="6"/>
  <c r="R44" i="6"/>
  <c r="C78" i="6"/>
  <c r="E78" i="6"/>
  <c r="G78" i="6"/>
  <c r="T79" i="6"/>
  <c r="C82" i="6"/>
  <c r="E82" i="6"/>
  <c r="C85" i="6"/>
  <c r="E85" i="6"/>
  <c r="G85" i="6" s="1"/>
  <c r="C104" i="6"/>
  <c r="E104" i="6"/>
  <c r="G104" i="6"/>
  <c r="J104" i="6"/>
  <c r="T107" i="6"/>
  <c r="C108" i="6"/>
  <c r="E108" i="6"/>
  <c r="G108" i="6"/>
  <c r="C111" i="6"/>
  <c r="E111" i="6"/>
  <c r="G111" i="6" s="1"/>
  <c r="C114" i="6"/>
  <c r="C116" i="6" s="1"/>
  <c r="C119" i="6" s="1"/>
  <c r="G119" i="6" s="1"/>
  <c r="C130" i="6"/>
  <c r="E130" i="6"/>
  <c r="G130" i="6"/>
  <c r="J130" i="6"/>
  <c r="C134" i="6"/>
  <c r="E134" i="6"/>
  <c r="T134" i="6"/>
  <c r="C137" i="6"/>
  <c r="G137" i="6" s="1"/>
  <c r="E137" i="6"/>
  <c r="C156" i="6"/>
  <c r="E156" i="6"/>
  <c r="G156" i="6"/>
  <c r="C160" i="6"/>
  <c r="E160" i="6"/>
  <c r="C163" i="6"/>
  <c r="E163" i="6"/>
  <c r="T168" i="6"/>
  <c r="C182" i="6"/>
  <c r="E182" i="6"/>
  <c r="J182" i="6" s="1"/>
  <c r="G182" i="6"/>
  <c r="C186" i="6"/>
  <c r="E186" i="6"/>
  <c r="G186" i="6"/>
  <c r="C192" i="6" s="1"/>
  <c r="C194" i="6" s="1"/>
  <c r="C197" i="6" s="1"/>
  <c r="G197" i="6" s="1"/>
  <c r="C189" i="6"/>
  <c r="E189" i="6"/>
  <c r="G189" i="6" s="1"/>
  <c r="A205" i="6"/>
  <c r="B205" i="6"/>
  <c r="A206" i="6"/>
  <c r="B206" i="6"/>
  <c r="C21" i="2"/>
  <c r="C23" i="2" s="1"/>
  <c r="C25" i="2" s="1"/>
  <c r="C39" i="2"/>
  <c r="C41" i="2" s="1"/>
  <c r="C29" i="2" s="1"/>
  <c r="C55" i="2"/>
  <c r="C57" i="2" s="1"/>
  <c r="C66" i="2"/>
  <c r="C76" i="2"/>
  <c r="C78" i="2" s="1"/>
  <c r="C80" i="2"/>
  <c r="C92" i="2"/>
  <c r="C94" i="2" s="1"/>
  <c r="C96" i="2" s="1"/>
  <c r="H28" i="1"/>
  <c r="T28" i="1"/>
  <c r="U28" i="1" s="1"/>
  <c r="V28" i="1" s="1"/>
  <c r="X28" i="1"/>
  <c r="Y28" i="1" s="1"/>
  <c r="Z28" i="1"/>
  <c r="Z27" i="1" s="1"/>
  <c r="AA28" i="1"/>
  <c r="AB28" i="1"/>
  <c r="H29" i="1"/>
  <c r="T29" i="1"/>
  <c r="U29" i="1" s="1"/>
  <c r="V29" i="1" s="1"/>
  <c r="X29" i="1"/>
  <c r="Y29" i="1"/>
  <c r="Z29" i="1"/>
  <c r="AA29" i="1"/>
  <c r="AB29" i="1"/>
  <c r="H30" i="1"/>
  <c r="T30" i="1"/>
  <c r="U30" i="1"/>
  <c r="V30" i="1" s="1"/>
  <c r="X30" i="1"/>
  <c r="Y30" i="1" s="1"/>
  <c r="Z30" i="1"/>
  <c r="AA30" i="1"/>
  <c r="AB30" i="1"/>
  <c r="H31" i="1"/>
  <c r="T31" i="1"/>
  <c r="U31" i="1"/>
  <c r="V31" i="1" s="1"/>
  <c r="X31" i="1"/>
  <c r="Y31" i="1"/>
  <c r="Z31" i="1"/>
  <c r="AA31" i="1"/>
  <c r="AB31" i="1"/>
  <c r="H32" i="1"/>
  <c r="T32" i="1"/>
  <c r="U32" i="1" s="1"/>
  <c r="V32" i="1" s="1"/>
  <c r="X32" i="1"/>
  <c r="Y32" i="1" s="1"/>
  <c r="Z32" i="1"/>
  <c r="AA32" i="1"/>
  <c r="AB32" i="1"/>
  <c r="H33" i="1"/>
  <c r="T33" i="1"/>
  <c r="U33" i="1" s="1"/>
  <c r="V33" i="1" s="1"/>
  <c r="X33" i="1"/>
  <c r="Y33" i="1"/>
  <c r="Z33" i="1"/>
  <c r="AA33" i="1"/>
  <c r="AB33" i="1"/>
  <c r="T34" i="1"/>
  <c r="V34" i="1"/>
  <c r="X34" i="1"/>
  <c r="Y34" i="1" s="1"/>
  <c r="Z34" i="1"/>
  <c r="AA34" i="1"/>
  <c r="AB34" i="1"/>
  <c r="H36" i="1"/>
  <c r="T36" i="1"/>
  <c r="U36" i="1" s="1"/>
  <c r="V36" i="1" s="1"/>
  <c r="X36" i="1"/>
  <c r="Y36" i="1" s="1"/>
  <c r="Z36" i="1"/>
  <c r="AA36" i="1"/>
  <c r="AB36" i="1"/>
  <c r="H37" i="1"/>
  <c r="T37" i="1"/>
  <c r="U37" i="1" s="1"/>
  <c r="W37" i="1"/>
  <c r="X37" i="1"/>
  <c r="Z37" i="1"/>
  <c r="AA37" i="1"/>
  <c r="AB37" i="1"/>
  <c r="H38" i="1"/>
  <c r="T38" i="1"/>
  <c r="U38" i="1" s="1"/>
  <c r="V38" i="1" s="1"/>
  <c r="X38" i="1"/>
  <c r="Y38" i="1" s="1"/>
  <c r="Z38" i="1"/>
  <c r="AA38" i="1"/>
  <c r="AB38" i="1"/>
  <c r="H39" i="1"/>
  <c r="T39" i="1"/>
  <c r="U39" i="1" s="1"/>
  <c r="V39" i="1" s="1"/>
  <c r="X39" i="1"/>
  <c r="Y39" i="1" s="1"/>
  <c r="Z39" i="1"/>
  <c r="AA39" i="1"/>
  <c r="AB39" i="1"/>
  <c r="H40" i="1"/>
  <c r="T40" i="1"/>
  <c r="U40" i="1" s="1"/>
  <c r="V40" i="1" s="1"/>
  <c r="X40" i="1"/>
  <c r="Y40" i="1"/>
  <c r="Z40" i="1"/>
  <c r="AA40" i="1"/>
  <c r="AB40" i="1"/>
  <c r="T41" i="1"/>
  <c r="V41" i="1"/>
  <c r="X41" i="1"/>
  <c r="Y41" i="1" s="1"/>
  <c r="Z41" i="1"/>
  <c r="AA41" i="1"/>
  <c r="AB41" i="1"/>
  <c r="H44" i="1"/>
  <c r="T44" i="1"/>
  <c r="U44" i="1" s="1"/>
  <c r="V44" i="1" s="1"/>
  <c r="X44" i="1"/>
  <c r="Y44" i="1"/>
  <c r="Z44" i="1"/>
  <c r="AA44" i="1"/>
  <c r="AB44" i="1"/>
  <c r="H45" i="1"/>
  <c r="T45" i="1"/>
  <c r="U45" i="1"/>
  <c r="V45" i="1" s="1"/>
  <c r="X45" i="1"/>
  <c r="Y45" i="1"/>
  <c r="Z45" i="1"/>
  <c r="AA45" i="1"/>
  <c r="AB45" i="1"/>
  <c r="H46" i="1"/>
  <c r="H43" i="1" s="1"/>
  <c r="T46" i="1"/>
  <c r="U46" i="1" s="1"/>
  <c r="V46" i="1" s="1"/>
  <c r="X46" i="1"/>
  <c r="Y46" i="1" s="1"/>
  <c r="Z46" i="1"/>
  <c r="AA46" i="1"/>
  <c r="AB46" i="1"/>
  <c r="AB43" i="1" s="1"/>
  <c r="T47" i="1"/>
  <c r="V47" i="1"/>
  <c r="X47" i="1"/>
  <c r="Y47" i="1"/>
  <c r="Z47" i="1"/>
  <c r="AA47" i="1"/>
  <c r="AB47" i="1"/>
  <c r="H48" i="1"/>
  <c r="H49" i="1"/>
  <c r="T49" i="1"/>
  <c r="U49" i="1" s="1"/>
  <c r="V49" i="1"/>
  <c r="X49" i="1"/>
  <c r="Y49" i="1" s="1"/>
  <c r="Z49" i="1"/>
  <c r="AA49" i="1"/>
  <c r="AB49" i="1"/>
  <c r="H50" i="1"/>
  <c r="T50" i="1"/>
  <c r="U50" i="1" s="1"/>
  <c r="V50" i="1" s="1"/>
  <c r="X50" i="1"/>
  <c r="Y50" i="1" s="1"/>
  <c r="Z50" i="1"/>
  <c r="AA50" i="1"/>
  <c r="AB50" i="1"/>
  <c r="H51" i="1"/>
  <c r="T51" i="1"/>
  <c r="U51" i="1" s="1"/>
  <c r="V51" i="1" s="1"/>
  <c r="X51" i="1"/>
  <c r="Y51" i="1"/>
  <c r="Z51" i="1"/>
  <c r="AA51" i="1"/>
  <c r="AB51" i="1"/>
  <c r="T52" i="1"/>
  <c r="V52" i="1"/>
  <c r="X52" i="1"/>
  <c r="Y52" i="1" s="1"/>
  <c r="Z52" i="1"/>
  <c r="AA52" i="1"/>
  <c r="AB52" i="1"/>
  <c r="Y54" i="1"/>
  <c r="H55" i="1"/>
  <c r="H54" i="1" s="1"/>
  <c r="T55" i="1"/>
  <c r="U55" i="1"/>
  <c r="W55" i="1"/>
  <c r="X55" i="1"/>
  <c r="Y55" i="1" s="1"/>
  <c r="Z55" i="1"/>
  <c r="AA55" i="1"/>
  <c r="AB55" i="1"/>
  <c r="H56" i="1"/>
  <c r="S56" i="1"/>
  <c r="T56" i="1"/>
  <c r="U56" i="1" s="1"/>
  <c r="W56" i="1"/>
  <c r="X56" i="1"/>
  <c r="Y56" i="1" s="1"/>
  <c r="Z56" i="1"/>
  <c r="Z54" i="1" s="1"/>
  <c r="AA56" i="1"/>
  <c r="AB56" i="1"/>
  <c r="AB54" i="1" s="1"/>
  <c r="T57" i="1"/>
  <c r="V57" i="1"/>
  <c r="X57" i="1"/>
  <c r="Y57" i="1" s="1"/>
  <c r="Z57" i="1"/>
  <c r="AA57" i="1"/>
  <c r="AB57" i="1"/>
  <c r="Y58" i="1"/>
  <c r="AB58" i="1"/>
  <c r="H59" i="1"/>
  <c r="H58" i="1" s="1"/>
  <c r="I59" i="1"/>
  <c r="T59" i="1"/>
  <c r="U59" i="1"/>
  <c r="V59" i="1" s="1"/>
  <c r="W59" i="1"/>
  <c r="X59" i="1"/>
  <c r="Y59" i="1" s="1"/>
  <c r="Z59" i="1"/>
  <c r="Z58" i="1" s="1"/>
  <c r="AA59" i="1"/>
  <c r="AB59" i="1"/>
  <c r="H60" i="1"/>
  <c r="I60" i="1"/>
  <c r="T60" i="1"/>
  <c r="U60" i="1"/>
  <c r="V60" i="1" s="1"/>
  <c r="W60" i="1"/>
  <c r="Y60" i="1" s="1"/>
  <c r="X60" i="1"/>
  <c r="Z60" i="1"/>
  <c r="AA60" i="1"/>
  <c r="AA58" i="1" s="1"/>
  <c r="AB60" i="1"/>
  <c r="T61" i="1"/>
  <c r="V61" i="1"/>
  <c r="X61" i="1"/>
  <c r="Y61" i="1" s="1"/>
  <c r="Z61" i="1"/>
  <c r="AA61" i="1"/>
  <c r="AB61" i="1"/>
  <c r="H63" i="1"/>
  <c r="H62" i="1" s="1"/>
  <c r="T63" i="1"/>
  <c r="U63" i="1" s="1"/>
  <c r="V63" i="1" s="1"/>
  <c r="V62" i="1" s="1"/>
  <c r="W63" i="1"/>
  <c r="Y63" i="1" s="1"/>
  <c r="X63" i="1"/>
  <c r="Z63" i="1"/>
  <c r="Z62" i="1" s="1"/>
  <c r="AA63" i="1"/>
  <c r="AA62" i="1" s="1"/>
  <c r="AB63" i="1"/>
  <c r="AB62" i="1" s="1"/>
  <c r="T64" i="1"/>
  <c r="V64" i="1"/>
  <c r="X64" i="1"/>
  <c r="Y64" i="1" s="1"/>
  <c r="Z64" i="1"/>
  <c r="AA64" i="1"/>
  <c r="AB64" i="1"/>
  <c r="H66" i="1"/>
  <c r="T66" i="1"/>
  <c r="U66" i="1" s="1"/>
  <c r="W66" i="1"/>
  <c r="X66" i="1"/>
  <c r="Y66" i="1" s="1"/>
  <c r="Z66" i="1"/>
  <c r="AA66" i="1"/>
  <c r="AB66" i="1"/>
  <c r="H67" i="1"/>
  <c r="I67" i="1"/>
  <c r="T67" i="1"/>
  <c r="U67" i="1" s="1"/>
  <c r="V67" i="1" s="1"/>
  <c r="W67" i="1"/>
  <c r="X67" i="1"/>
  <c r="Y67" i="1"/>
  <c r="Z67" i="1"/>
  <c r="AA67" i="1"/>
  <c r="AB67" i="1"/>
  <c r="F68" i="1"/>
  <c r="H68" i="1"/>
  <c r="T68" i="1"/>
  <c r="U68" i="1" s="1"/>
  <c r="V68" i="1" s="1"/>
  <c r="W68" i="1"/>
  <c r="Y68" i="1" s="1"/>
  <c r="X68" i="1"/>
  <c r="Z68" i="1"/>
  <c r="AA68" i="1"/>
  <c r="AB68" i="1"/>
  <c r="H69" i="1"/>
  <c r="T69" i="1"/>
  <c r="U69" i="1" s="1"/>
  <c r="W69" i="1"/>
  <c r="X69" i="1"/>
  <c r="Z69" i="1"/>
  <c r="AA69" i="1"/>
  <c r="AB69" i="1"/>
  <c r="H70" i="1"/>
  <c r="S70" i="1"/>
  <c r="T70" i="1" s="1"/>
  <c r="U70" i="1" s="1"/>
  <c r="W70" i="1"/>
  <c r="X70" i="1"/>
  <c r="Z70" i="1"/>
  <c r="AB70" i="1"/>
  <c r="T71" i="1"/>
  <c r="V71" i="1"/>
  <c r="X71" i="1"/>
  <c r="Y71" i="1" s="1"/>
  <c r="Z71" i="1"/>
  <c r="AA71" i="1"/>
  <c r="AB71" i="1"/>
  <c r="Y72" i="1"/>
  <c r="H73" i="1"/>
  <c r="S73" i="1"/>
  <c r="W73" i="1"/>
  <c r="Z73" i="1"/>
  <c r="AA73" i="1"/>
  <c r="AC73" i="1" s="1"/>
  <c r="AB73" i="1"/>
  <c r="AB72" i="1" s="1"/>
  <c r="H74" i="1"/>
  <c r="S74" i="1"/>
  <c r="T74" i="1" s="1"/>
  <c r="U74" i="1" s="1"/>
  <c r="W74" i="1"/>
  <c r="Z74" i="1"/>
  <c r="Z72" i="1" s="1"/>
  <c r="AA74" i="1"/>
  <c r="AB74" i="1"/>
  <c r="T75" i="1"/>
  <c r="V75" i="1"/>
  <c r="X75" i="1"/>
  <c r="Y75" i="1" s="1"/>
  <c r="Z75" i="1"/>
  <c r="AA75" i="1"/>
  <c r="AB75" i="1"/>
  <c r="Y76" i="1"/>
  <c r="H77" i="1"/>
  <c r="T77" i="1"/>
  <c r="U77" i="1" s="1"/>
  <c r="F77" i="1" s="1"/>
  <c r="W77" i="1"/>
  <c r="Y77" i="1" s="1"/>
  <c r="X77" i="1"/>
  <c r="Z77" i="1"/>
  <c r="AA77" i="1"/>
  <c r="AB77" i="1"/>
  <c r="H78" i="1"/>
  <c r="T78" i="1"/>
  <c r="U78" i="1" s="1"/>
  <c r="W78" i="1"/>
  <c r="Y78" i="1" s="1"/>
  <c r="X78" i="1"/>
  <c r="Z78" i="1"/>
  <c r="AA78" i="1"/>
  <c r="AB78" i="1"/>
  <c r="H79" i="1"/>
  <c r="T79" i="1"/>
  <c r="U79" i="1" s="1"/>
  <c r="W79" i="1"/>
  <c r="X79" i="1"/>
  <c r="Z79" i="1"/>
  <c r="AA79" i="1"/>
  <c r="AB79" i="1"/>
  <c r="H80" i="1"/>
  <c r="T80" i="1"/>
  <c r="U80" i="1" s="1"/>
  <c r="W80" i="1"/>
  <c r="X80" i="1"/>
  <c r="Z80" i="1"/>
  <c r="AA80" i="1"/>
  <c r="AB80" i="1"/>
  <c r="AB76" i="1" s="1"/>
  <c r="T81" i="1"/>
  <c r="V81" i="1"/>
  <c r="X81" i="1"/>
  <c r="Y81" i="1"/>
  <c r="Z81" i="1"/>
  <c r="AA81" i="1"/>
  <c r="AB81" i="1"/>
  <c r="H83" i="1"/>
  <c r="T83" i="1"/>
  <c r="U83" i="1" s="1"/>
  <c r="V83" i="1" s="1"/>
  <c r="W83" i="1"/>
  <c r="Y83" i="1" s="1"/>
  <c r="X83" i="1"/>
  <c r="Z83" i="1"/>
  <c r="Z82" i="1" s="1"/>
  <c r="AA83" i="1"/>
  <c r="AB83" i="1"/>
  <c r="H84" i="1"/>
  <c r="T84" i="1"/>
  <c r="U84" i="1" s="1"/>
  <c r="V84" i="1" s="1"/>
  <c r="W84" i="1"/>
  <c r="X84" i="1"/>
  <c r="Y84" i="1" s="1"/>
  <c r="Z84" i="1"/>
  <c r="AA84" i="1"/>
  <c r="AB84" i="1"/>
  <c r="H85" i="1"/>
  <c r="T85" i="1"/>
  <c r="U85" i="1" s="1"/>
  <c r="V85" i="1" s="1"/>
  <c r="W85" i="1"/>
  <c r="X85" i="1"/>
  <c r="Z85" i="1"/>
  <c r="AA85" i="1"/>
  <c r="AB85" i="1"/>
  <c r="H86" i="1"/>
  <c r="T86" i="1"/>
  <c r="U86" i="1" s="1"/>
  <c r="W86" i="1"/>
  <c r="X86" i="1"/>
  <c r="Z86" i="1"/>
  <c r="AA86" i="1"/>
  <c r="AB86" i="1"/>
  <c r="H87" i="1"/>
  <c r="S87" i="1"/>
  <c r="X87" i="1" s="1"/>
  <c r="W87" i="1"/>
  <c r="Z87" i="1"/>
  <c r="AB87" i="1"/>
  <c r="T88" i="1"/>
  <c r="V88" i="1"/>
  <c r="X88" i="1"/>
  <c r="Y88" i="1" s="1"/>
  <c r="Z88" i="1"/>
  <c r="AA88" i="1"/>
  <c r="AB88" i="1"/>
  <c r="H90" i="1"/>
  <c r="T90" i="1"/>
  <c r="U90" i="1" s="1"/>
  <c r="V90" i="1" s="1"/>
  <c r="W90" i="1"/>
  <c r="X90" i="1"/>
  <c r="Y90" i="1" s="1"/>
  <c r="Z90" i="1"/>
  <c r="Z89" i="1" s="1"/>
  <c r="AA90" i="1"/>
  <c r="AB90" i="1"/>
  <c r="H91" i="1"/>
  <c r="H89" i="1" s="1"/>
  <c r="T91" i="1"/>
  <c r="U91" i="1"/>
  <c r="F91" i="1" s="1"/>
  <c r="W91" i="1"/>
  <c r="Y91" i="1" s="1"/>
  <c r="X91" i="1"/>
  <c r="Z91" i="1"/>
  <c r="AA91" i="1"/>
  <c r="AB91" i="1"/>
  <c r="AB89" i="1" s="1"/>
  <c r="H92" i="1"/>
  <c r="S92" i="1"/>
  <c r="AA92" i="1" s="1"/>
  <c r="W92" i="1"/>
  <c r="Z92" i="1"/>
  <c r="AB92" i="1"/>
  <c r="H93" i="1"/>
  <c r="T93" i="1"/>
  <c r="U93" i="1" s="1"/>
  <c r="W93" i="1"/>
  <c r="X93" i="1"/>
  <c r="Z93" i="1"/>
  <c r="AA93" i="1"/>
  <c r="AB93" i="1"/>
  <c r="H94" i="1"/>
  <c r="T94" i="1"/>
  <c r="U94" i="1" s="1"/>
  <c r="W94" i="1"/>
  <c r="Y94" i="1" s="1"/>
  <c r="X94" i="1"/>
  <c r="Z94" i="1"/>
  <c r="AA94" i="1"/>
  <c r="AB94" i="1"/>
  <c r="T95" i="1"/>
  <c r="V95" i="1"/>
  <c r="X95" i="1"/>
  <c r="Y95" i="1" s="1"/>
  <c r="Z95" i="1"/>
  <c r="AA95" i="1"/>
  <c r="AB95" i="1"/>
  <c r="Y96" i="1"/>
  <c r="H97" i="1"/>
  <c r="S97" i="1"/>
  <c r="W97" i="1"/>
  <c r="Z97" i="1"/>
  <c r="AA97" i="1"/>
  <c r="AA96" i="1" s="1"/>
  <c r="AC96" i="1" s="1"/>
  <c r="AB97" i="1"/>
  <c r="H98" i="1"/>
  <c r="T98" i="1"/>
  <c r="U98" i="1" s="1"/>
  <c r="W98" i="1"/>
  <c r="Y98" i="1" s="1"/>
  <c r="X98" i="1"/>
  <c r="Z98" i="1"/>
  <c r="AA98" i="1"/>
  <c r="AB98" i="1"/>
  <c r="H99" i="1"/>
  <c r="T99" i="1"/>
  <c r="U99" i="1" s="1"/>
  <c r="W99" i="1"/>
  <c r="X99" i="1"/>
  <c r="Y99" i="1"/>
  <c r="Z99" i="1"/>
  <c r="AA99" i="1"/>
  <c r="AB99" i="1"/>
  <c r="H100" i="1"/>
  <c r="T100" i="1"/>
  <c r="U100" i="1" s="1"/>
  <c r="V100" i="1" s="1"/>
  <c r="W100" i="1"/>
  <c r="X100" i="1"/>
  <c r="Y100" i="1" s="1"/>
  <c r="Z100" i="1"/>
  <c r="AA100" i="1"/>
  <c r="AB100" i="1"/>
  <c r="H101" i="1"/>
  <c r="T101" i="1"/>
  <c r="U101" i="1"/>
  <c r="F101" i="1" s="1"/>
  <c r="W101" i="1"/>
  <c r="Y101" i="1" s="1"/>
  <c r="X101" i="1"/>
  <c r="Z101" i="1"/>
  <c r="AA101" i="1"/>
  <c r="AB101" i="1"/>
  <c r="H102" i="1"/>
  <c r="T102" i="1"/>
  <c r="U102" i="1" s="1"/>
  <c r="W102" i="1"/>
  <c r="X102" i="1"/>
  <c r="Z102" i="1"/>
  <c r="AA102" i="1"/>
  <c r="AB102" i="1"/>
  <c r="H103" i="1"/>
  <c r="T103" i="1"/>
  <c r="U103" i="1" s="1"/>
  <c r="W103" i="1"/>
  <c r="X103" i="1"/>
  <c r="Y103" i="1"/>
  <c r="Z103" i="1"/>
  <c r="AA103" i="1"/>
  <c r="AB103" i="1"/>
  <c r="H104" i="1"/>
  <c r="T104" i="1"/>
  <c r="U104" i="1" s="1"/>
  <c r="V104" i="1" s="1"/>
  <c r="W104" i="1"/>
  <c r="X104" i="1"/>
  <c r="Y104" i="1" s="1"/>
  <c r="Z104" i="1"/>
  <c r="AA104" i="1"/>
  <c r="AB104" i="1"/>
  <c r="T105" i="1"/>
  <c r="V105" i="1"/>
  <c r="X105" i="1"/>
  <c r="Y105" i="1"/>
  <c r="Z105" i="1"/>
  <c r="AA105" i="1"/>
  <c r="AB105" i="1"/>
  <c r="H107" i="1"/>
  <c r="T107" i="1"/>
  <c r="U107" i="1" s="1"/>
  <c r="V107" i="1" s="1"/>
  <c r="W107" i="1"/>
  <c r="X107" i="1"/>
  <c r="Z107" i="1"/>
  <c r="AA107" i="1"/>
  <c r="AB107" i="1"/>
  <c r="H108" i="1"/>
  <c r="T108" i="1"/>
  <c r="U108" i="1" s="1"/>
  <c r="V108" i="1" s="1"/>
  <c r="W108" i="1"/>
  <c r="Y108" i="1" s="1"/>
  <c r="X108" i="1"/>
  <c r="Z108" i="1"/>
  <c r="AA108" i="1"/>
  <c r="AB108" i="1"/>
  <c r="H109" i="1"/>
  <c r="T109" i="1"/>
  <c r="U109" i="1" s="1"/>
  <c r="V109" i="1" s="1"/>
  <c r="W109" i="1"/>
  <c r="X109" i="1"/>
  <c r="Z109" i="1"/>
  <c r="AA109" i="1"/>
  <c r="AB109" i="1"/>
  <c r="H110" i="1"/>
  <c r="T110" i="1"/>
  <c r="U110" i="1" s="1"/>
  <c r="V110" i="1" s="1"/>
  <c r="W110" i="1"/>
  <c r="X110" i="1"/>
  <c r="Y110" i="1" s="1"/>
  <c r="Z110" i="1"/>
  <c r="AA110" i="1"/>
  <c r="AB110" i="1"/>
  <c r="H111" i="1"/>
  <c r="T111" i="1"/>
  <c r="U111" i="1" s="1"/>
  <c r="V111" i="1" s="1"/>
  <c r="X111" i="1"/>
  <c r="Y111" i="1" s="1"/>
  <c r="Z111" i="1"/>
  <c r="AA111" i="1"/>
  <c r="AB111" i="1"/>
  <c r="H112" i="1"/>
  <c r="T112" i="1"/>
  <c r="U112" i="1" s="1"/>
  <c r="V112" i="1" s="1"/>
  <c r="X112" i="1"/>
  <c r="Y112" i="1" s="1"/>
  <c r="Z112" i="1"/>
  <c r="AA112" i="1"/>
  <c r="AB112" i="1"/>
  <c r="H113" i="1"/>
  <c r="T113" i="1"/>
  <c r="U113" i="1" s="1"/>
  <c r="W113" i="1"/>
  <c r="X113" i="1"/>
  <c r="Z113" i="1"/>
  <c r="AA113" i="1"/>
  <c r="AB113" i="1"/>
  <c r="H114" i="1"/>
  <c r="T114" i="1"/>
  <c r="U114" i="1" s="1"/>
  <c r="F114" i="1" s="1"/>
  <c r="W114" i="1"/>
  <c r="X114" i="1"/>
  <c r="Y114" i="1"/>
  <c r="Z114" i="1"/>
  <c r="AA114" i="1"/>
  <c r="AB114" i="1"/>
  <c r="H115" i="1"/>
  <c r="T115" i="1"/>
  <c r="U115" i="1" s="1"/>
  <c r="V115" i="1" s="1"/>
  <c r="W115" i="1"/>
  <c r="X115" i="1"/>
  <c r="Z115" i="1"/>
  <c r="AA115" i="1"/>
  <c r="AB115" i="1"/>
  <c r="H116" i="1"/>
  <c r="T116" i="1"/>
  <c r="U116" i="1"/>
  <c r="V116" i="1" s="1"/>
  <c r="W116" i="1"/>
  <c r="X116" i="1"/>
  <c r="Y116" i="1" s="1"/>
  <c r="Z116" i="1"/>
  <c r="AA116" i="1"/>
  <c r="AB116" i="1"/>
  <c r="H117" i="1"/>
  <c r="T117" i="1"/>
  <c r="U117" i="1" s="1"/>
  <c r="V117" i="1" s="1"/>
  <c r="X117" i="1"/>
  <c r="Y117" i="1" s="1"/>
  <c r="Z117" i="1"/>
  <c r="AA117" i="1"/>
  <c r="AB117" i="1"/>
  <c r="H118" i="1"/>
  <c r="T118" i="1"/>
  <c r="U118" i="1" s="1"/>
  <c r="V118" i="1" s="1"/>
  <c r="X118" i="1"/>
  <c r="Y118" i="1" s="1"/>
  <c r="Z118" i="1"/>
  <c r="AA118" i="1"/>
  <c r="AB118" i="1"/>
  <c r="H119" i="1"/>
  <c r="T119" i="1"/>
  <c r="U119" i="1"/>
  <c r="V119" i="1" s="1"/>
  <c r="X119" i="1"/>
  <c r="Y119" i="1"/>
  <c r="Z119" i="1"/>
  <c r="AA119" i="1"/>
  <c r="AB119" i="1"/>
  <c r="H120" i="1"/>
  <c r="T120" i="1"/>
  <c r="U120" i="1" s="1"/>
  <c r="V120" i="1" s="1"/>
  <c r="X120" i="1"/>
  <c r="Y120" i="1" s="1"/>
  <c r="Z120" i="1"/>
  <c r="AA120" i="1"/>
  <c r="AB120" i="1"/>
  <c r="H121" i="1"/>
  <c r="T121" i="1"/>
  <c r="U121" i="1" s="1"/>
  <c r="V121" i="1"/>
  <c r="X121" i="1"/>
  <c r="Y121" i="1" s="1"/>
  <c r="Z121" i="1"/>
  <c r="AA121" i="1"/>
  <c r="AB121" i="1"/>
  <c r="H122" i="1"/>
  <c r="T122" i="1"/>
  <c r="U122" i="1" s="1"/>
  <c r="V122" i="1" s="1"/>
  <c r="X122" i="1"/>
  <c r="Y122" i="1"/>
  <c r="Z122" i="1"/>
  <c r="AA122" i="1"/>
  <c r="AB122" i="1"/>
  <c r="H123" i="1"/>
  <c r="T123" i="1"/>
  <c r="U123" i="1"/>
  <c r="V123" i="1" s="1"/>
  <c r="X123" i="1"/>
  <c r="Y123" i="1"/>
  <c r="Z123" i="1"/>
  <c r="AA123" i="1"/>
  <c r="AB123" i="1"/>
  <c r="H124" i="1"/>
  <c r="T124" i="1"/>
  <c r="U124" i="1" s="1"/>
  <c r="V124" i="1" s="1"/>
  <c r="X124" i="1"/>
  <c r="Y124" i="1" s="1"/>
  <c r="Z124" i="1"/>
  <c r="AA124" i="1"/>
  <c r="AB124" i="1"/>
  <c r="H125" i="1"/>
  <c r="T125" i="1"/>
  <c r="U125" i="1" s="1"/>
  <c r="V125" i="1"/>
  <c r="W125" i="1"/>
  <c r="X125" i="1"/>
  <c r="Z125" i="1"/>
  <c r="AA125" i="1"/>
  <c r="AB125" i="1"/>
  <c r="H126" i="1"/>
  <c r="T126" i="1"/>
  <c r="U126" i="1"/>
  <c r="V126" i="1" s="1"/>
  <c r="W126" i="1"/>
  <c r="X126" i="1"/>
  <c r="Y126" i="1" s="1"/>
  <c r="Z126" i="1"/>
  <c r="AA126" i="1"/>
  <c r="AB126" i="1"/>
  <c r="H127" i="1"/>
  <c r="T127" i="1"/>
  <c r="U127" i="1"/>
  <c r="V127" i="1" s="1"/>
  <c r="W127" i="1"/>
  <c r="Y127" i="1" s="1"/>
  <c r="X127" i="1"/>
  <c r="Z127" i="1"/>
  <c r="AA127" i="1"/>
  <c r="AB127" i="1"/>
  <c r="H128" i="1"/>
  <c r="T128" i="1"/>
  <c r="U128" i="1" s="1"/>
  <c r="V128" i="1" s="1"/>
  <c r="W128" i="1"/>
  <c r="X128" i="1"/>
  <c r="Y128" i="1" s="1"/>
  <c r="Z128" i="1"/>
  <c r="AA128" i="1"/>
  <c r="AB128" i="1"/>
  <c r="H129" i="1"/>
  <c r="T129" i="1"/>
  <c r="U129" i="1" s="1"/>
  <c r="V129" i="1" s="1"/>
  <c r="W129" i="1"/>
  <c r="X129" i="1"/>
  <c r="Z129" i="1"/>
  <c r="AA129" i="1"/>
  <c r="AB129" i="1"/>
  <c r="H130" i="1"/>
  <c r="T130" i="1"/>
  <c r="U130" i="1" s="1"/>
  <c r="V130" i="1" s="1"/>
  <c r="W130" i="1"/>
  <c r="X130" i="1"/>
  <c r="Z130" i="1"/>
  <c r="AA130" i="1"/>
  <c r="AB130" i="1"/>
  <c r="H131" i="1"/>
  <c r="T131" i="1"/>
  <c r="U131" i="1" s="1"/>
  <c r="V131" i="1" s="1"/>
  <c r="W131" i="1"/>
  <c r="X131" i="1"/>
  <c r="Z131" i="1"/>
  <c r="AA131" i="1"/>
  <c r="AB131" i="1"/>
  <c r="H132" i="1"/>
  <c r="T132" i="1"/>
  <c r="U132" i="1"/>
  <c r="V132" i="1" s="1"/>
  <c r="X132" i="1"/>
  <c r="Y132" i="1"/>
  <c r="Z132" i="1"/>
  <c r="AA132" i="1"/>
  <c r="AB132" i="1"/>
  <c r="H133" i="1"/>
  <c r="T133" i="1"/>
  <c r="U133" i="1" s="1"/>
  <c r="V133" i="1" s="1"/>
  <c r="X133" i="1"/>
  <c r="Y133" i="1" s="1"/>
  <c r="Z133" i="1"/>
  <c r="AA133" i="1"/>
  <c r="AB133" i="1"/>
  <c r="H134" i="1"/>
  <c r="T134" i="1"/>
  <c r="U134" i="1"/>
  <c r="V134" i="1" s="1"/>
  <c r="X134" i="1"/>
  <c r="Y134" i="1" s="1"/>
  <c r="Z134" i="1"/>
  <c r="AA134" i="1"/>
  <c r="AB134" i="1"/>
  <c r="H135" i="1"/>
  <c r="T135" i="1"/>
  <c r="U135" i="1"/>
  <c r="V135" i="1" s="1"/>
  <c r="X135" i="1"/>
  <c r="Y135" i="1" s="1"/>
  <c r="Z135" i="1"/>
  <c r="AA135" i="1"/>
  <c r="AB135" i="1"/>
  <c r="H136" i="1"/>
  <c r="T136" i="1"/>
  <c r="U136" i="1" s="1"/>
  <c r="V136" i="1" s="1"/>
  <c r="X136" i="1"/>
  <c r="Y136" i="1" s="1"/>
  <c r="Z136" i="1"/>
  <c r="AA136" i="1"/>
  <c r="AB136" i="1"/>
  <c r="H137" i="1"/>
  <c r="T137" i="1"/>
  <c r="U137" i="1"/>
  <c r="W137" i="1"/>
  <c r="Y137" i="1" s="1"/>
  <c r="X137" i="1"/>
  <c r="Z137" i="1"/>
  <c r="AA137" i="1"/>
  <c r="AB137" i="1"/>
  <c r="H138" i="1"/>
  <c r="T138" i="1"/>
  <c r="U138" i="1" s="1"/>
  <c r="W138" i="1"/>
  <c r="X138" i="1"/>
  <c r="Z138" i="1"/>
  <c r="AA138" i="1"/>
  <c r="AB138" i="1"/>
  <c r="H139" i="1"/>
  <c r="T139" i="1"/>
  <c r="U139" i="1"/>
  <c r="V139" i="1" s="1"/>
  <c r="X139" i="1"/>
  <c r="Y139" i="1"/>
  <c r="Z139" i="1"/>
  <c r="AA139" i="1"/>
  <c r="AB139" i="1"/>
  <c r="H140" i="1"/>
  <c r="T140" i="1"/>
  <c r="U140" i="1" s="1"/>
  <c r="V140" i="1" s="1"/>
  <c r="X140" i="1"/>
  <c r="Y140" i="1" s="1"/>
  <c r="Z140" i="1"/>
  <c r="AA140" i="1"/>
  <c r="AB140" i="1"/>
  <c r="H141" i="1"/>
  <c r="T141" i="1"/>
  <c r="U141" i="1" s="1"/>
  <c r="V141" i="1" s="1"/>
  <c r="X141" i="1"/>
  <c r="Y141" i="1"/>
  <c r="Z141" i="1"/>
  <c r="AA141" i="1"/>
  <c r="AB141" i="1"/>
  <c r="H142" i="1"/>
  <c r="T142" i="1"/>
  <c r="U142" i="1"/>
  <c r="V142" i="1" s="1"/>
  <c r="X142" i="1"/>
  <c r="Y142" i="1" s="1"/>
  <c r="Z142" i="1"/>
  <c r="AA142" i="1"/>
  <c r="AB142" i="1"/>
  <c r="H143" i="1"/>
  <c r="T143" i="1"/>
  <c r="U143" i="1"/>
  <c r="V143" i="1" s="1"/>
  <c r="W143" i="1"/>
  <c r="X143" i="1"/>
  <c r="Z143" i="1"/>
  <c r="AA143" i="1"/>
  <c r="AB143" i="1"/>
  <c r="H144" i="1"/>
  <c r="T144" i="1"/>
  <c r="U144" i="1" s="1"/>
  <c r="V144" i="1" s="1"/>
  <c r="W144" i="1"/>
  <c r="X144" i="1"/>
  <c r="Z144" i="1"/>
  <c r="AA144" i="1"/>
  <c r="AB144" i="1"/>
  <c r="H145" i="1"/>
  <c r="T145" i="1"/>
  <c r="U145" i="1"/>
  <c r="V145" i="1" s="1"/>
  <c r="W145" i="1"/>
  <c r="Y145" i="1" s="1"/>
  <c r="X145" i="1"/>
  <c r="Z145" i="1"/>
  <c r="AA145" i="1"/>
  <c r="AB145" i="1"/>
  <c r="H146" i="1"/>
  <c r="T146" i="1"/>
  <c r="U146" i="1" s="1"/>
  <c r="W146" i="1"/>
  <c r="X146" i="1"/>
  <c r="Z146" i="1"/>
  <c r="AA146" i="1"/>
  <c r="AB146" i="1"/>
  <c r="H147" i="1"/>
  <c r="T147" i="1"/>
  <c r="U147" i="1" s="1"/>
  <c r="W147" i="1"/>
  <c r="X147" i="1"/>
  <c r="Z147" i="1"/>
  <c r="AA147" i="1"/>
  <c r="AB147" i="1"/>
  <c r="T148" i="1"/>
  <c r="V148" i="1"/>
  <c r="X148" i="1"/>
  <c r="Y148" i="1" s="1"/>
  <c r="Z148" i="1"/>
  <c r="AA148" i="1"/>
  <c r="AB148" i="1"/>
  <c r="H150" i="1"/>
  <c r="T150" i="1"/>
  <c r="U150" i="1"/>
  <c r="V150" i="1" s="1"/>
  <c r="W150" i="1"/>
  <c r="X150" i="1"/>
  <c r="Y150" i="1"/>
  <c r="Z150" i="1"/>
  <c r="AA150" i="1"/>
  <c r="AB150" i="1"/>
  <c r="H151" i="1"/>
  <c r="T151" i="1"/>
  <c r="U151" i="1" s="1"/>
  <c r="V151" i="1" s="1"/>
  <c r="W151" i="1"/>
  <c r="Y151" i="1" s="1"/>
  <c r="X151" i="1"/>
  <c r="Z151" i="1"/>
  <c r="AA151" i="1"/>
  <c r="AB151" i="1"/>
  <c r="H152" i="1"/>
  <c r="T152" i="1"/>
  <c r="U152" i="1" s="1"/>
  <c r="V152" i="1" s="1"/>
  <c r="W152" i="1"/>
  <c r="X152" i="1"/>
  <c r="Y152" i="1"/>
  <c r="Z152" i="1"/>
  <c r="AA152" i="1"/>
  <c r="AB152" i="1"/>
  <c r="F153" i="1"/>
  <c r="H153" i="1"/>
  <c r="T153" i="1"/>
  <c r="U153" i="1" s="1"/>
  <c r="V153" i="1" s="1"/>
  <c r="W153" i="1"/>
  <c r="Y153" i="1" s="1"/>
  <c r="X153" i="1"/>
  <c r="Z153" i="1"/>
  <c r="AA153" i="1"/>
  <c r="AB153" i="1"/>
  <c r="H154" i="1"/>
  <c r="T154" i="1"/>
  <c r="U154" i="1" s="1"/>
  <c r="V154" i="1" s="1"/>
  <c r="W154" i="1"/>
  <c r="X154" i="1"/>
  <c r="Z154" i="1"/>
  <c r="AA154" i="1"/>
  <c r="AB154" i="1"/>
  <c r="H155" i="1"/>
  <c r="T155" i="1"/>
  <c r="U155" i="1" s="1"/>
  <c r="V155" i="1" s="1"/>
  <c r="W155" i="1"/>
  <c r="Y155" i="1" s="1"/>
  <c r="X155" i="1"/>
  <c r="Z155" i="1"/>
  <c r="AA155" i="1"/>
  <c r="AB155" i="1"/>
  <c r="H156" i="1"/>
  <c r="T156" i="1"/>
  <c r="U156" i="1" s="1"/>
  <c r="V156" i="1" s="1"/>
  <c r="W156" i="1"/>
  <c r="Y156" i="1" s="1"/>
  <c r="X156" i="1"/>
  <c r="Z156" i="1"/>
  <c r="AA156" i="1"/>
  <c r="AB156" i="1"/>
  <c r="H157" i="1"/>
  <c r="T157" i="1"/>
  <c r="U157" i="1" s="1"/>
  <c r="V157" i="1" s="1"/>
  <c r="W157" i="1"/>
  <c r="Y157" i="1" s="1"/>
  <c r="X157" i="1"/>
  <c r="Z157" i="1"/>
  <c r="AA157" i="1"/>
  <c r="AB157" i="1"/>
  <c r="H158" i="1"/>
  <c r="T158" i="1"/>
  <c r="U158" i="1" s="1"/>
  <c r="V158" i="1" s="1"/>
  <c r="W158" i="1"/>
  <c r="X158" i="1"/>
  <c r="Z158" i="1"/>
  <c r="AA158" i="1"/>
  <c r="AB158" i="1"/>
  <c r="H159" i="1"/>
  <c r="T159" i="1"/>
  <c r="U159" i="1"/>
  <c r="W159" i="1"/>
  <c r="X159" i="1"/>
  <c r="Y159" i="1"/>
  <c r="Z159" i="1"/>
  <c r="AA159" i="1"/>
  <c r="AB159" i="1"/>
  <c r="H160" i="1"/>
  <c r="T160" i="1"/>
  <c r="U160" i="1" s="1"/>
  <c r="V160" i="1" s="1"/>
  <c r="W160" i="1"/>
  <c r="Y160" i="1" s="1"/>
  <c r="X160" i="1"/>
  <c r="Z160" i="1"/>
  <c r="AA160" i="1"/>
  <c r="AB160" i="1"/>
  <c r="H161" i="1"/>
  <c r="T161" i="1"/>
  <c r="U161" i="1" s="1"/>
  <c r="V161" i="1" s="1"/>
  <c r="W161" i="1"/>
  <c r="Y161" i="1" s="1"/>
  <c r="X161" i="1"/>
  <c r="Z161" i="1"/>
  <c r="AA161" i="1"/>
  <c r="AB161" i="1"/>
  <c r="H162" i="1"/>
  <c r="T162" i="1"/>
  <c r="U162" i="1" s="1"/>
  <c r="V162" i="1" s="1"/>
  <c r="W162" i="1"/>
  <c r="X162" i="1"/>
  <c r="Z162" i="1"/>
  <c r="AA162" i="1"/>
  <c r="AB162" i="1"/>
  <c r="H163" i="1"/>
  <c r="T163" i="1"/>
  <c r="U163" i="1" s="1"/>
  <c r="W163" i="1"/>
  <c r="X163" i="1"/>
  <c r="Y163" i="1" s="1"/>
  <c r="Z163" i="1"/>
  <c r="AA163" i="1"/>
  <c r="AB163" i="1"/>
  <c r="H164" i="1"/>
  <c r="T164" i="1"/>
  <c r="U164" i="1" s="1"/>
  <c r="V164" i="1"/>
  <c r="W164" i="1"/>
  <c r="X164" i="1"/>
  <c r="Z164" i="1"/>
  <c r="AA164" i="1"/>
  <c r="AB164" i="1"/>
  <c r="H165" i="1"/>
  <c r="T165" i="1"/>
  <c r="U165" i="1"/>
  <c r="V165" i="1" s="1"/>
  <c r="W165" i="1"/>
  <c r="X165" i="1"/>
  <c r="Y165" i="1" s="1"/>
  <c r="Z165" i="1"/>
  <c r="AA165" i="1"/>
  <c r="AB165" i="1"/>
  <c r="H166" i="1"/>
  <c r="T166" i="1"/>
  <c r="U166" i="1"/>
  <c r="V166" i="1" s="1"/>
  <c r="W166" i="1"/>
  <c r="Y166" i="1" s="1"/>
  <c r="X166" i="1"/>
  <c r="Z166" i="1"/>
  <c r="AA166" i="1"/>
  <c r="AB166" i="1"/>
  <c r="H167" i="1"/>
  <c r="T167" i="1"/>
  <c r="U167" i="1" s="1"/>
  <c r="V167" i="1" s="1"/>
  <c r="W167" i="1"/>
  <c r="X167" i="1"/>
  <c r="Z167" i="1"/>
  <c r="AA167" i="1"/>
  <c r="AB167" i="1"/>
  <c r="H168" i="1"/>
  <c r="T168" i="1"/>
  <c r="U168" i="1" s="1"/>
  <c r="V168" i="1" s="1"/>
  <c r="W168" i="1"/>
  <c r="X168" i="1"/>
  <c r="Z168" i="1"/>
  <c r="AA168" i="1"/>
  <c r="AB168" i="1"/>
  <c r="H169" i="1"/>
  <c r="T169" i="1"/>
  <c r="U169" i="1"/>
  <c r="V169" i="1" s="1"/>
  <c r="W169" i="1"/>
  <c r="X169" i="1"/>
  <c r="Y169" i="1" s="1"/>
  <c r="Z169" i="1"/>
  <c r="AA169" i="1"/>
  <c r="AB169" i="1"/>
  <c r="H170" i="1"/>
  <c r="T170" i="1"/>
  <c r="U170" i="1"/>
  <c r="F170" i="1" s="1"/>
  <c r="W170" i="1"/>
  <c r="X170" i="1"/>
  <c r="Y170" i="1" s="1"/>
  <c r="Z170" i="1"/>
  <c r="AA170" i="1"/>
  <c r="AB170" i="1"/>
  <c r="T171" i="1"/>
  <c r="V171" i="1"/>
  <c r="X171" i="1"/>
  <c r="Y171" i="1"/>
  <c r="Z171" i="1"/>
  <c r="AA171" i="1"/>
  <c r="AB171" i="1"/>
  <c r="Y172" i="1"/>
  <c r="H173" i="1"/>
  <c r="T173" i="1"/>
  <c r="U173" i="1"/>
  <c r="W173" i="1"/>
  <c r="X173" i="1"/>
  <c r="Y173" i="1"/>
  <c r="Z173" i="1"/>
  <c r="AA173" i="1"/>
  <c r="AB173" i="1"/>
  <c r="H174" i="1"/>
  <c r="T174" i="1"/>
  <c r="U174" i="1" s="1"/>
  <c r="V174" i="1" s="1"/>
  <c r="W174" i="1"/>
  <c r="Y174" i="1" s="1"/>
  <c r="X174" i="1"/>
  <c r="Z174" i="1"/>
  <c r="AA174" i="1"/>
  <c r="AB174" i="1"/>
  <c r="H175" i="1"/>
  <c r="T175" i="1"/>
  <c r="U175" i="1" s="1"/>
  <c r="V175" i="1" s="1"/>
  <c r="W175" i="1"/>
  <c r="X175" i="1"/>
  <c r="Y175" i="1" s="1"/>
  <c r="Z175" i="1"/>
  <c r="AA175" i="1"/>
  <c r="AB175" i="1"/>
  <c r="H176" i="1"/>
  <c r="T176" i="1"/>
  <c r="U176" i="1" s="1"/>
  <c r="F176" i="1" s="1"/>
  <c r="W176" i="1"/>
  <c r="X176" i="1"/>
  <c r="Z176" i="1"/>
  <c r="AA176" i="1"/>
  <c r="AB176" i="1"/>
  <c r="H177" i="1"/>
  <c r="S177" i="1"/>
  <c r="W177" i="1"/>
  <c r="Z177" i="1"/>
  <c r="AA177" i="1"/>
  <c r="AB177" i="1"/>
  <c r="T178" i="1"/>
  <c r="V178" i="1"/>
  <c r="X178" i="1"/>
  <c r="Y178" i="1" s="1"/>
  <c r="Z178" i="1"/>
  <c r="AA178" i="1"/>
  <c r="AB178" i="1"/>
  <c r="H180" i="1"/>
  <c r="T180" i="1"/>
  <c r="U180" i="1" s="1"/>
  <c r="W180" i="1"/>
  <c r="Y180" i="1" s="1"/>
  <c r="X180" i="1"/>
  <c r="Z180" i="1"/>
  <c r="AA180" i="1"/>
  <c r="AB180" i="1"/>
  <c r="H181" i="1"/>
  <c r="T181" i="1"/>
  <c r="U181" i="1" s="1"/>
  <c r="W181" i="1"/>
  <c r="X181" i="1"/>
  <c r="Y181" i="1"/>
  <c r="Z181" i="1"/>
  <c r="AA181" i="1"/>
  <c r="AB181" i="1"/>
  <c r="F182" i="1"/>
  <c r="H182" i="1"/>
  <c r="T182" i="1"/>
  <c r="U182" i="1" s="1"/>
  <c r="V182" i="1" s="1"/>
  <c r="W182" i="1"/>
  <c r="Y182" i="1" s="1"/>
  <c r="X182" i="1"/>
  <c r="Z182" i="1"/>
  <c r="AA182" i="1"/>
  <c r="AB182" i="1"/>
  <c r="H183" i="1"/>
  <c r="T183" i="1"/>
  <c r="U183" i="1" s="1"/>
  <c r="W183" i="1"/>
  <c r="X183" i="1"/>
  <c r="Z183" i="1"/>
  <c r="AA183" i="1"/>
  <c r="AB183" i="1"/>
  <c r="H184" i="1"/>
  <c r="T184" i="1"/>
  <c r="U184" i="1" s="1"/>
  <c r="W184" i="1"/>
  <c r="X184" i="1"/>
  <c r="Z184" i="1"/>
  <c r="AA184" i="1"/>
  <c r="AB184" i="1"/>
  <c r="H185" i="1"/>
  <c r="T185" i="1"/>
  <c r="U185" i="1" s="1"/>
  <c r="V185" i="1" s="1"/>
  <c r="W185" i="1"/>
  <c r="X185" i="1"/>
  <c r="Y185" i="1"/>
  <c r="Z185" i="1"/>
  <c r="AA185" i="1"/>
  <c r="AB185" i="1"/>
  <c r="H186" i="1"/>
  <c r="S186" i="1"/>
  <c r="T186" i="1" s="1"/>
  <c r="U186" i="1"/>
  <c r="F186" i="1" s="1"/>
  <c r="W186" i="1"/>
  <c r="Z186" i="1"/>
  <c r="AA186" i="1"/>
  <c r="AB186" i="1"/>
  <c r="H187" i="1"/>
  <c r="S187" i="1"/>
  <c r="T187" i="1" s="1"/>
  <c r="U187" i="1" s="1"/>
  <c r="W187" i="1"/>
  <c r="Z187" i="1"/>
  <c r="AB187" i="1"/>
  <c r="H188" i="1"/>
  <c r="T188" i="1"/>
  <c r="U188" i="1"/>
  <c r="F188" i="1" s="1"/>
  <c r="W188" i="1"/>
  <c r="Y188" i="1" s="1"/>
  <c r="X188" i="1"/>
  <c r="Z188" i="1"/>
  <c r="AA188" i="1"/>
  <c r="AB188" i="1"/>
  <c r="H189" i="1"/>
  <c r="T189" i="1"/>
  <c r="U189" i="1" s="1"/>
  <c r="W189" i="1"/>
  <c r="X189" i="1"/>
  <c r="Z189" i="1"/>
  <c r="AA189" i="1"/>
  <c r="AB189" i="1"/>
  <c r="H190" i="1"/>
  <c r="T190" i="1"/>
  <c r="U190" i="1" s="1"/>
  <c r="W190" i="1"/>
  <c r="X190" i="1"/>
  <c r="Y190" i="1"/>
  <c r="Z190" i="1"/>
  <c r="AA190" i="1"/>
  <c r="AB190" i="1"/>
  <c r="H191" i="1"/>
  <c r="T191" i="1"/>
  <c r="U191" i="1" s="1"/>
  <c r="W191" i="1"/>
  <c r="X191" i="1"/>
  <c r="Y191" i="1" s="1"/>
  <c r="Z191" i="1"/>
  <c r="AA191" i="1"/>
  <c r="AB191" i="1"/>
  <c r="H192" i="1"/>
  <c r="T192" i="1"/>
  <c r="U192" i="1"/>
  <c r="F192" i="1" s="1"/>
  <c r="W192" i="1"/>
  <c r="Y192" i="1" s="1"/>
  <c r="X192" i="1"/>
  <c r="Z192" i="1"/>
  <c r="AA192" i="1"/>
  <c r="AB192" i="1"/>
  <c r="H193" i="1"/>
  <c r="T193" i="1"/>
  <c r="U193" i="1" s="1"/>
  <c r="W193" i="1"/>
  <c r="X193" i="1"/>
  <c r="Z193" i="1"/>
  <c r="AA193" i="1"/>
  <c r="AB193" i="1"/>
  <c r="H194" i="1"/>
  <c r="T194" i="1"/>
  <c r="U194" i="1" s="1"/>
  <c r="W194" i="1"/>
  <c r="X194" i="1"/>
  <c r="Z194" i="1"/>
  <c r="AA194" i="1"/>
  <c r="AB194" i="1"/>
  <c r="H195" i="1"/>
  <c r="T195" i="1"/>
  <c r="U195" i="1" s="1"/>
  <c r="F195" i="1" s="1"/>
  <c r="W195" i="1"/>
  <c r="X195" i="1"/>
  <c r="Y195" i="1"/>
  <c r="Z195" i="1"/>
  <c r="AA195" i="1"/>
  <c r="AB195" i="1"/>
  <c r="H196" i="1"/>
  <c r="T196" i="1"/>
  <c r="U196" i="1" s="1"/>
  <c r="W196" i="1"/>
  <c r="X196" i="1"/>
  <c r="Z196" i="1"/>
  <c r="AA196" i="1"/>
  <c r="AB196" i="1"/>
  <c r="H197" i="1"/>
  <c r="T197" i="1"/>
  <c r="U197" i="1" s="1"/>
  <c r="W197" i="1"/>
  <c r="Y197" i="1" s="1"/>
  <c r="X197" i="1"/>
  <c r="Z197" i="1"/>
  <c r="AA197" i="1"/>
  <c r="AB197" i="1"/>
  <c r="H198" i="1"/>
  <c r="T198" i="1"/>
  <c r="U198" i="1" s="1"/>
  <c r="W198" i="1"/>
  <c r="X198" i="1"/>
  <c r="Z198" i="1"/>
  <c r="AA198" i="1"/>
  <c r="AB198" i="1"/>
  <c r="H199" i="1"/>
  <c r="T199" i="1"/>
  <c r="U199" i="1" s="1"/>
  <c r="F199" i="1" s="1"/>
  <c r="W199" i="1"/>
  <c r="Y199" i="1" s="1"/>
  <c r="X199" i="1"/>
  <c r="Z199" i="1"/>
  <c r="AA199" i="1"/>
  <c r="AB199" i="1"/>
  <c r="H200" i="1"/>
  <c r="T200" i="1"/>
  <c r="U200" i="1" s="1"/>
  <c r="W200" i="1"/>
  <c r="X200" i="1"/>
  <c r="Z200" i="1"/>
  <c r="AA200" i="1"/>
  <c r="AB200" i="1"/>
  <c r="H201" i="1"/>
  <c r="T201" i="1"/>
  <c r="U201" i="1" s="1"/>
  <c r="V201" i="1" s="1"/>
  <c r="W201" i="1"/>
  <c r="X201" i="1"/>
  <c r="Y201" i="1"/>
  <c r="Z201" i="1"/>
  <c r="AA201" i="1"/>
  <c r="AB201" i="1"/>
  <c r="H202" i="1"/>
  <c r="T202" i="1"/>
  <c r="U202" i="1"/>
  <c r="V202" i="1" s="1"/>
  <c r="W202" i="1"/>
  <c r="Y202" i="1" s="1"/>
  <c r="X202" i="1"/>
  <c r="Z202" i="1"/>
  <c r="AA202" i="1"/>
  <c r="AB202" i="1"/>
  <c r="H203" i="1"/>
  <c r="T203" i="1"/>
  <c r="U203" i="1" s="1"/>
  <c r="V203" i="1" s="1"/>
  <c r="W203" i="1"/>
  <c r="X203" i="1"/>
  <c r="Z203" i="1"/>
  <c r="AA203" i="1"/>
  <c r="AB203" i="1"/>
  <c r="H204" i="1"/>
  <c r="T204" i="1"/>
  <c r="U204" i="1" s="1"/>
  <c r="V204" i="1" s="1"/>
  <c r="W204" i="1"/>
  <c r="X204" i="1"/>
  <c r="Z204" i="1"/>
  <c r="AA204" i="1"/>
  <c r="AB204" i="1"/>
  <c r="H205" i="1"/>
  <c r="T205" i="1"/>
  <c r="U205" i="1" s="1"/>
  <c r="V205" i="1" s="1"/>
  <c r="W205" i="1"/>
  <c r="Y205" i="1" s="1"/>
  <c r="X205" i="1"/>
  <c r="Z205" i="1"/>
  <c r="AA205" i="1"/>
  <c r="AB205" i="1"/>
  <c r="H206" i="1"/>
  <c r="T206" i="1"/>
  <c r="U206" i="1"/>
  <c r="V206" i="1" s="1"/>
  <c r="W206" i="1"/>
  <c r="Y206" i="1" s="1"/>
  <c r="X206" i="1"/>
  <c r="Z206" i="1"/>
  <c r="AA206" i="1"/>
  <c r="AB206" i="1"/>
  <c r="H207" i="1"/>
  <c r="T207" i="1"/>
  <c r="U207" i="1" s="1"/>
  <c r="W207" i="1"/>
  <c r="X207" i="1"/>
  <c r="Z207" i="1"/>
  <c r="AA207" i="1"/>
  <c r="AB207" i="1"/>
  <c r="H208" i="1"/>
  <c r="T208" i="1"/>
  <c r="U208" i="1" s="1"/>
  <c r="W208" i="1"/>
  <c r="X208" i="1"/>
  <c r="Z208" i="1"/>
  <c r="AA208" i="1"/>
  <c r="AB208" i="1"/>
  <c r="H209" i="1"/>
  <c r="T209" i="1"/>
  <c r="U209" i="1" s="1"/>
  <c r="F209" i="1" s="1"/>
  <c r="W209" i="1"/>
  <c r="Y209" i="1" s="1"/>
  <c r="X209" i="1"/>
  <c r="Z209" i="1"/>
  <c r="AA209" i="1"/>
  <c r="AB209" i="1"/>
  <c r="T210" i="1"/>
  <c r="V210" i="1"/>
  <c r="X210" i="1"/>
  <c r="Y210" i="1" s="1"/>
  <c r="Z210" i="1"/>
  <c r="AA210" i="1"/>
  <c r="AB210" i="1"/>
  <c r="Y211" i="1"/>
  <c r="H212" i="1"/>
  <c r="T212" i="1"/>
  <c r="U212" i="1"/>
  <c r="F212" i="1" s="1"/>
  <c r="W212" i="1"/>
  <c r="Y212" i="1" s="1"/>
  <c r="X212" i="1"/>
  <c r="Z212" i="1"/>
  <c r="AA212" i="1"/>
  <c r="AB212" i="1"/>
  <c r="H213" i="1"/>
  <c r="T213" i="1"/>
  <c r="U213" i="1"/>
  <c r="F213" i="1" s="1"/>
  <c r="W213" i="1"/>
  <c r="Y213" i="1" s="1"/>
  <c r="X213" i="1"/>
  <c r="Z213" i="1"/>
  <c r="AA213" i="1"/>
  <c r="AB213" i="1"/>
  <c r="H214" i="1"/>
  <c r="T214" i="1"/>
  <c r="U214" i="1" s="1"/>
  <c r="W214" i="1"/>
  <c r="X214" i="1"/>
  <c r="Z214" i="1"/>
  <c r="AA214" i="1"/>
  <c r="AB214" i="1"/>
  <c r="H215" i="1"/>
  <c r="T215" i="1"/>
  <c r="U215" i="1"/>
  <c r="W215" i="1"/>
  <c r="X215" i="1"/>
  <c r="Y215" i="1" s="1"/>
  <c r="Z215" i="1"/>
  <c r="AA215" i="1"/>
  <c r="AB215" i="1"/>
  <c r="H216" i="1"/>
  <c r="T216" i="1"/>
  <c r="U216" i="1"/>
  <c r="F216" i="1" s="1"/>
  <c r="W216" i="1"/>
  <c r="X216" i="1"/>
  <c r="Y216" i="1"/>
  <c r="Z216" i="1"/>
  <c r="AA216" i="1"/>
  <c r="AB216" i="1"/>
  <c r="H217" i="1"/>
  <c r="T217" i="1"/>
  <c r="U217" i="1" s="1"/>
  <c r="W217" i="1"/>
  <c r="X217" i="1"/>
  <c r="Z217" i="1"/>
  <c r="AA217" i="1"/>
  <c r="AB217" i="1"/>
  <c r="T218" i="1"/>
  <c r="V218" i="1"/>
  <c r="X218" i="1"/>
  <c r="Y218" i="1" s="1"/>
  <c r="Z218" i="1"/>
  <c r="AA218" i="1"/>
  <c r="AB218" i="1"/>
  <c r="H220" i="1"/>
  <c r="T220" i="1"/>
  <c r="U220" i="1" s="1"/>
  <c r="W220" i="1"/>
  <c r="X220" i="1"/>
  <c r="Z220" i="1"/>
  <c r="AA220" i="1"/>
  <c r="AB220" i="1"/>
  <c r="H221" i="1"/>
  <c r="T221" i="1"/>
  <c r="U221" i="1" s="1"/>
  <c r="W221" i="1"/>
  <c r="Y221" i="1" s="1"/>
  <c r="X221" i="1"/>
  <c r="Z221" i="1"/>
  <c r="AA221" i="1"/>
  <c r="AB221" i="1"/>
  <c r="H222" i="1"/>
  <c r="T222" i="1"/>
  <c r="U222" i="1"/>
  <c r="F222" i="1" s="1"/>
  <c r="W222" i="1"/>
  <c r="Y222" i="1" s="1"/>
  <c r="X222" i="1"/>
  <c r="Z222" i="1"/>
  <c r="AA222" i="1"/>
  <c r="AB222" i="1"/>
  <c r="H223" i="1"/>
  <c r="T223" i="1"/>
  <c r="U223" i="1" s="1"/>
  <c r="V223" i="1" s="1"/>
  <c r="W223" i="1"/>
  <c r="Y223" i="1" s="1"/>
  <c r="X223" i="1"/>
  <c r="Z223" i="1"/>
  <c r="AA223" i="1"/>
  <c r="AB223" i="1"/>
  <c r="H224" i="1"/>
  <c r="T224" i="1"/>
  <c r="U224" i="1" s="1"/>
  <c r="W224" i="1"/>
  <c r="Y224" i="1" s="1"/>
  <c r="X224" i="1"/>
  <c r="Z224" i="1"/>
  <c r="AA224" i="1"/>
  <c r="AB224" i="1"/>
  <c r="H225" i="1"/>
  <c r="T225" i="1"/>
  <c r="U225" i="1" s="1"/>
  <c r="W225" i="1"/>
  <c r="X225" i="1"/>
  <c r="Y225" i="1" s="1"/>
  <c r="Z225" i="1"/>
  <c r="AA225" i="1"/>
  <c r="AB225" i="1"/>
  <c r="H226" i="1"/>
  <c r="T226" i="1"/>
  <c r="U226" i="1"/>
  <c r="F226" i="1" s="1"/>
  <c r="W226" i="1"/>
  <c r="Y226" i="1" s="1"/>
  <c r="X226" i="1"/>
  <c r="Z226" i="1"/>
  <c r="AA226" i="1"/>
  <c r="AB226" i="1"/>
  <c r="H227" i="1"/>
  <c r="T227" i="1"/>
  <c r="U227" i="1" s="1"/>
  <c r="W227" i="1"/>
  <c r="X227" i="1"/>
  <c r="Z227" i="1"/>
  <c r="AA227" i="1"/>
  <c r="AB227" i="1"/>
  <c r="H228" i="1"/>
  <c r="T228" i="1"/>
  <c r="U228" i="1" s="1"/>
  <c r="W228" i="1"/>
  <c r="Y228" i="1" s="1"/>
  <c r="X228" i="1"/>
  <c r="Z228" i="1"/>
  <c r="AA228" i="1"/>
  <c r="AB228" i="1"/>
  <c r="H229" i="1"/>
  <c r="T229" i="1"/>
  <c r="U229" i="1" s="1"/>
  <c r="W229" i="1"/>
  <c r="X229" i="1"/>
  <c r="Y229" i="1" s="1"/>
  <c r="Z229" i="1"/>
  <c r="AA229" i="1"/>
  <c r="AB229" i="1"/>
  <c r="H230" i="1"/>
  <c r="T230" i="1"/>
  <c r="U230" i="1"/>
  <c r="F230" i="1" s="1"/>
  <c r="W230" i="1"/>
  <c r="Y230" i="1" s="1"/>
  <c r="X230" i="1"/>
  <c r="Z230" i="1"/>
  <c r="AA230" i="1"/>
  <c r="AB230" i="1"/>
  <c r="H231" i="1"/>
  <c r="T231" i="1"/>
  <c r="U231" i="1" s="1"/>
  <c r="W231" i="1"/>
  <c r="X231" i="1"/>
  <c r="Z231" i="1"/>
  <c r="AA231" i="1"/>
  <c r="AB231" i="1"/>
  <c r="T232" i="1"/>
  <c r="AA232" i="1"/>
  <c r="AA234" i="1"/>
  <c r="AA235" i="1"/>
  <c r="AA236" i="1"/>
  <c r="AA237" i="1"/>
  <c r="AA238" i="1"/>
  <c r="AA239" i="1"/>
  <c r="T240" i="1"/>
  <c r="AA240" i="1"/>
  <c r="T241" i="1"/>
  <c r="AA241" i="1"/>
  <c r="T242" i="1"/>
  <c r="AA242" i="1"/>
  <c r="P244" i="1"/>
  <c r="Q245" i="1" s="1"/>
  <c r="T245" i="1" s="1"/>
  <c r="AA244" i="1"/>
  <c r="T246" i="1"/>
  <c r="AA246" i="1"/>
  <c r="T247" i="1"/>
  <c r="AA247" i="1"/>
  <c r="T248" i="1"/>
  <c r="AA248" i="1"/>
  <c r="T249" i="1"/>
  <c r="AA249" i="1"/>
  <c r="T250" i="1"/>
  <c r="AA250" i="1"/>
  <c r="T251" i="1"/>
  <c r="AA251" i="1"/>
  <c r="T252" i="1"/>
  <c r="AA252" i="1"/>
  <c r="T253" i="1"/>
  <c r="AA253" i="1"/>
  <c r="T254" i="1"/>
  <c r="AA254" i="1"/>
  <c r="T255" i="1"/>
  <c r="AA255" i="1"/>
  <c r="T256" i="1"/>
  <c r="AA256" i="1"/>
  <c r="T257" i="1"/>
  <c r="AA257" i="1"/>
  <c r="T258" i="1"/>
  <c r="AA258" i="1"/>
  <c r="T259" i="1"/>
  <c r="AA259" i="1"/>
  <c r="T260" i="1"/>
  <c r="AA260" i="1"/>
  <c r="T261" i="1"/>
  <c r="AA261" i="1"/>
  <c r="T262" i="1"/>
  <c r="AA262" i="1"/>
  <c r="T263" i="1"/>
  <c r="AA263" i="1"/>
  <c r="T264" i="1"/>
  <c r="AA264" i="1"/>
  <c r="T265" i="1"/>
  <c r="AA265" i="1"/>
  <c r="T266" i="1"/>
  <c r="AA266" i="1"/>
  <c r="T267" i="1"/>
  <c r="AA267" i="1"/>
  <c r="T268" i="1"/>
  <c r="AA268" i="1"/>
  <c r="T269" i="1"/>
  <c r="AA269" i="1"/>
  <c r="T270" i="1"/>
  <c r="AA270" i="1"/>
  <c r="T271" i="1"/>
  <c r="AA271" i="1"/>
  <c r="T272" i="1"/>
  <c r="AA272" i="1"/>
  <c r="T273" i="1"/>
  <c r="AA273" i="1"/>
  <c r="T274" i="1"/>
  <c r="AA274" i="1"/>
  <c r="T275" i="1"/>
  <c r="AA275" i="1"/>
  <c r="T276" i="1"/>
  <c r="AA276" i="1"/>
  <c r="T277" i="1"/>
  <c r="AA277" i="1"/>
  <c r="T278" i="1"/>
  <c r="AA278" i="1"/>
  <c r="T279" i="1"/>
  <c r="AA279" i="1"/>
  <c r="T280" i="1"/>
  <c r="AA280" i="1"/>
  <c r="T281" i="1"/>
  <c r="AA281" i="1"/>
  <c r="T282" i="1"/>
  <c r="AA282" i="1"/>
  <c r="T283" i="1"/>
  <c r="AA283" i="1"/>
  <c r="T284" i="1"/>
  <c r="AA284" i="1"/>
  <c r="T285" i="1"/>
  <c r="AA285" i="1"/>
  <c r="T286" i="1"/>
  <c r="AA286" i="1"/>
  <c r="T287" i="1"/>
  <c r="AA287" i="1"/>
  <c r="T288" i="1"/>
  <c r="AA288" i="1"/>
  <c r="T289" i="1"/>
  <c r="AA289" i="1"/>
  <c r="T290" i="1"/>
  <c r="AA290" i="1"/>
  <c r="T291" i="1"/>
  <c r="AA291" i="1"/>
  <c r="T292" i="1"/>
  <c r="AA292" i="1"/>
  <c r="T293" i="1"/>
  <c r="AA293" i="1"/>
  <c r="T294" i="1"/>
  <c r="AA294" i="1"/>
  <c r="T295" i="1"/>
  <c r="AA295" i="1"/>
  <c r="T296" i="1"/>
  <c r="AA296" i="1"/>
  <c r="T297" i="1"/>
  <c r="AA297" i="1"/>
  <c r="T298" i="1"/>
  <c r="AA298" i="1"/>
  <c r="T299" i="1"/>
  <c r="AA299" i="1"/>
  <c r="T300" i="1"/>
  <c r="AA300" i="1"/>
  <c r="T301" i="1"/>
  <c r="AA301" i="1"/>
  <c r="T302" i="1"/>
  <c r="AA302" i="1"/>
  <c r="T303" i="1"/>
  <c r="AA303" i="1"/>
  <c r="T304" i="1"/>
  <c r="AA304" i="1"/>
  <c r="T305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F229" i="1" l="1"/>
  <c r="V229" i="1"/>
  <c r="F225" i="1"/>
  <c r="V225" i="1"/>
  <c r="V217" i="1"/>
  <c r="F217" i="1"/>
  <c r="F200" i="1"/>
  <c r="V200" i="1"/>
  <c r="V196" i="1"/>
  <c r="F196" i="1"/>
  <c r="F183" i="1"/>
  <c r="V183" i="1"/>
  <c r="F191" i="1"/>
  <c r="V191" i="1"/>
  <c r="F159" i="1"/>
  <c r="V159" i="1"/>
  <c r="F146" i="1"/>
  <c r="V146" i="1"/>
  <c r="V78" i="1"/>
  <c r="F78" i="1"/>
  <c r="AA27" i="1"/>
  <c r="M28" i="5"/>
  <c r="K27" i="5"/>
  <c r="Z219" i="1"/>
  <c r="V222" i="1"/>
  <c r="AB211" i="1"/>
  <c r="Y214" i="1"/>
  <c r="V213" i="1"/>
  <c r="Y200" i="1"/>
  <c r="Y194" i="1"/>
  <c r="V192" i="1"/>
  <c r="V188" i="1"/>
  <c r="Y183" i="1"/>
  <c r="AB149" i="1"/>
  <c r="Y143" i="1"/>
  <c r="F137" i="1"/>
  <c r="V137" i="1"/>
  <c r="V58" i="1"/>
  <c r="AB48" i="1"/>
  <c r="G163" i="6"/>
  <c r="X187" i="1"/>
  <c r="Y187" i="1" s="1"/>
  <c r="AB172" i="1"/>
  <c r="AA172" i="1"/>
  <c r="Y167" i="1"/>
  <c r="F115" i="1"/>
  <c r="F104" i="1"/>
  <c r="F100" i="1"/>
  <c r="Z53" i="1"/>
  <c r="AA54" i="1"/>
  <c r="F234" i="5"/>
  <c r="F158" i="5"/>
  <c r="K44" i="5"/>
  <c r="M45" i="5"/>
  <c r="M44" i="5" s="1"/>
  <c r="H149" i="1"/>
  <c r="Z106" i="1"/>
  <c r="V230" i="1"/>
  <c r="V226" i="1"/>
  <c r="AA219" i="1"/>
  <c r="Y217" i="1"/>
  <c r="V216" i="1"/>
  <c r="Y208" i="1"/>
  <c r="Y204" i="1"/>
  <c r="Y203" i="1"/>
  <c r="Y198" i="1"/>
  <c r="Y196" i="1"/>
  <c r="AA187" i="1"/>
  <c r="Z179" i="1"/>
  <c r="AA179" i="1"/>
  <c r="F173" i="1"/>
  <c r="V173" i="1"/>
  <c r="Y158" i="1"/>
  <c r="AA43" i="1"/>
  <c r="C45" i="2"/>
  <c r="C59" i="2"/>
  <c r="K22" i="5"/>
  <c r="Y164" i="1"/>
  <c r="Y146" i="1"/>
  <c r="Y113" i="1"/>
  <c r="V101" i="1"/>
  <c r="AA89" i="1"/>
  <c r="V91" i="1"/>
  <c r="H82" i="1"/>
  <c r="Z76" i="1"/>
  <c r="AA48" i="1"/>
  <c r="Y37" i="1"/>
  <c r="H35" i="1"/>
  <c r="R35" i="6"/>
  <c r="R207" i="6" s="1"/>
  <c r="L255" i="5"/>
  <c r="F194" i="5"/>
  <c r="M157" i="5"/>
  <c r="L105" i="5"/>
  <c r="M67" i="5"/>
  <c r="M61" i="5" s="1"/>
  <c r="M51" i="5" s="1"/>
  <c r="F22" i="5"/>
  <c r="AB96" i="1"/>
  <c r="H96" i="1"/>
  <c r="AB82" i="1"/>
  <c r="H72" i="1"/>
  <c r="H65" i="1"/>
  <c r="H42" i="1"/>
  <c r="AB35" i="1"/>
  <c r="AB27" i="1"/>
  <c r="AB26" i="1" s="1"/>
  <c r="J156" i="6"/>
  <c r="K255" i="5"/>
  <c r="F90" i="5"/>
  <c r="F89" i="5" s="1"/>
  <c r="F44" i="5"/>
  <c r="L26" i="5"/>
  <c r="L52" i="5"/>
  <c r="L72" i="5"/>
  <c r="L51" i="5" s="1"/>
  <c r="Y176" i="1"/>
  <c r="Y168" i="1"/>
  <c r="Y154" i="1"/>
  <c r="AA149" i="1"/>
  <c r="Y131" i="1"/>
  <c r="Y130" i="1"/>
  <c r="Y129" i="1"/>
  <c r="Y125" i="1"/>
  <c r="Y115" i="1"/>
  <c r="Y85" i="1"/>
  <c r="Y80" i="1"/>
  <c r="AB65" i="1"/>
  <c r="AB53" i="1"/>
  <c r="V27" i="1"/>
  <c r="C82" i="2"/>
  <c r="C11" i="2"/>
  <c r="G160" i="6"/>
  <c r="G134" i="6"/>
  <c r="C140" i="6" s="1"/>
  <c r="C142" i="6" s="1"/>
  <c r="C145" i="6" s="1"/>
  <c r="G145" i="6" s="1"/>
  <c r="F260" i="5"/>
  <c r="F189" i="5"/>
  <c r="F179" i="5"/>
  <c r="F119" i="5"/>
  <c r="F101" i="5"/>
  <c r="F95" i="5"/>
  <c r="M89" i="5"/>
  <c r="F80" i="5"/>
  <c r="F61" i="5"/>
  <c r="M72" i="5"/>
  <c r="F228" i="1"/>
  <c r="V228" i="1"/>
  <c r="F208" i="1"/>
  <c r="V208" i="1"/>
  <c r="F221" i="1"/>
  <c r="V221" i="1"/>
  <c r="F187" i="1"/>
  <c r="V187" i="1"/>
  <c r="F94" i="1"/>
  <c r="V94" i="1"/>
  <c r="F80" i="1"/>
  <c r="V80" i="1"/>
  <c r="R206" i="6"/>
  <c r="F194" i="1"/>
  <c r="V194" i="1"/>
  <c r="F190" i="1"/>
  <c r="V190" i="1"/>
  <c r="F163" i="1"/>
  <c r="V163" i="1"/>
  <c r="F66" i="1"/>
  <c r="V66" i="1"/>
  <c r="V56" i="1"/>
  <c r="F56" i="1"/>
  <c r="AA26" i="1"/>
  <c r="Z26" i="1"/>
  <c r="V48" i="1"/>
  <c r="AB42" i="1"/>
  <c r="F113" i="1"/>
  <c r="V113" i="1"/>
  <c r="F103" i="1"/>
  <c r="V103" i="1"/>
  <c r="F74" i="1"/>
  <c r="V74" i="1"/>
  <c r="V70" i="1"/>
  <c r="F70" i="1"/>
  <c r="F255" i="5"/>
  <c r="F224" i="1"/>
  <c r="V224" i="1"/>
  <c r="F215" i="1"/>
  <c r="V215" i="1"/>
  <c r="F214" i="1"/>
  <c r="V214" i="1"/>
  <c r="F180" i="1"/>
  <c r="V180" i="1"/>
  <c r="T73" i="1"/>
  <c r="U73" i="1" s="1"/>
  <c r="X73" i="1"/>
  <c r="L84" i="5"/>
  <c r="M84" i="5"/>
  <c r="F227" i="1"/>
  <c r="V227" i="1"/>
  <c r="T177" i="1"/>
  <c r="U177" i="1" s="1"/>
  <c r="X177" i="1"/>
  <c r="Y177" i="1" s="1"/>
  <c r="F138" i="1"/>
  <c r="V138" i="1"/>
  <c r="F102" i="1"/>
  <c r="V102" i="1"/>
  <c r="F231" i="1"/>
  <c r="V231" i="1"/>
  <c r="F207" i="1"/>
  <c r="V207" i="1"/>
  <c r="F193" i="1"/>
  <c r="V193" i="1"/>
  <c r="T92" i="1"/>
  <c r="U92" i="1" s="1"/>
  <c r="X92" i="1"/>
  <c r="Y92" i="1" s="1"/>
  <c r="F79" i="1"/>
  <c r="V79" i="1"/>
  <c r="F69" i="1"/>
  <c r="V69" i="1"/>
  <c r="F20" i="5"/>
  <c r="K20" i="5"/>
  <c r="Z149" i="1"/>
  <c r="H106" i="1"/>
  <c r="Z96" i="1"/>
  <c r="H53" i="1"/>
  <c r="H27" i="1"/>
  <c r="C166" i="6"/>
  <c r="C168" i="6" s="1"/>
  <c r="C171" i="6" s="1"/>
  <c r="G171" i="6" s="1"/>
  <c r="T244" i="1"/>
  <c r="V209" i="1"/>
  <c r="V195" i="1"/>
  <c r="V186" i="1"/>
  <c r="AB179" i="1"/>
  <c r="V114" i="1"/>
  <c r="T87" i="1"/>
  <c r="U87" i="1" s="1"/>
  <c r="V77" i="1"/>
  <c r="C43" i="2"/>
  <c r="M241" i="5"/>
  <c r="F16" i="5"/>
  <c r="P243" i="1"/>
  <c r="Y227" i="1"/>
  <c r="AB219" i="1"/>
  <c r="Y220" i="1"/>
  <c r="Z211" i="1"/>
  <c r="V212" i="1"/>
  <c r="V199" i="1"/>
  <c r="Y189" i="1"/>
  <c r="Y184" i="1"/>
  <c r="V176" i="1"/>
  <c r="V170" i="1"/>
  <c r="Y162" i="1"/>
  <c r="Y147" i="1"/>
  <c r="Y138" i="1"/>
  <c r="AB106" i="1"/>
  <c r="Y107" i="1"/>
  <c r="Y102" i="1"/>
  <c r="Y93" i="1"/>
  <c r="Y87" i="1"/>
  <c r="Y86" i="1"/>
  <c r="AA76" i="1"/>
  <c r="H76" i="1"/>
  <c r="Y73" i="1"/>
  <c r="AA72" i="1"/>
  <c r="AA70" i="1"/>
  <c r="AA65" i="1" s="1"/>
  <c r="Z65" i="1"/>
  <c r="Z43" i="1"/>
  <c r="Z35" i="1"/>
  <c r="G82" i="6"/>
  <c r="C88" i="6" s="1"/>
  <c r="F264" i="5"/>
  <c r="F173" i="5"/>
  <c r="K157" i="5"/>
  <c r="F106" i="5"/>
  <c r="F105" i="5" s="1"/>
  <c r="F72" i="5"/>
  <c r="K61" i="5"/>
  <c r="F52" i="5"/>
  <c r="F27" i="5"/>
  <c r="F26" i="5" s="1"/>
  <c r="F181" i="1"/>
  <c r="V181" i="1"/>
  <c r="F99" i="1"/>
  <c r="V99" i="1"/>
  <c r="F98" i="1"/>
  <c r="V98" i="1"/>
  <c r="F220" i="1"/>
  <c r="V220" i="1"/>
  <c r="F189" i="1"/>
  <c r="V189" i="1"/>
  <c r="F184" i="1"/>
  <c r="V184" i="1"/>
  <c r="F147" i="1"/>
  <c r="V147" i="1"/>
  <c r="T97" i="1"/>
  <c r="U97" i="1" s="1"/>
  <c r="X97" i="1"/>
  <c r="F93" i="1"/>
  <c r="V93" i="1"/>
  <c r="F86" i="1"/>
  <c r="V86" i="1"/>
  <c r="F198" i="1"/>
  <c r="V198" i="1"/>
  <c r="F197" i="1"/>
  <c r="V197" i="1"/>
  <c r="F55" i="1"/>
  <c r="V55" i="1"/>
  <c r="V54" i="1" s="1"/>
  <c r="F37" i="1"/>
  <c r="V37" i="1"/>
  <c r="V35" i="1" s="1"/>
  <c r="AA245" i="1"/>
  <c r="H219" i="1"/>
  <c r="H172" i="1"/>
  <c r="AA106" i="1"/>
  <c r="AA87" i="1"/>
  <c r="AA82" i="1" s="1"/>
  <c r="Y231" i="1"/>
  <c r="AA211" i="1"/>
  <c r="H211" i="1"/>
  <c r="Y207" i="1"/>
  <c r="Y193" i="1"/>
  <c r="H179" i="1"/>
  <c r="Z172" i="1"/>
  <c r="Y144" i="1"/>
  <c r="Y109" i="1"/>
  <c r="Y97" i="1"/>
  <c r="Y79" i="1"/>
  <c r="Y70" i="1"/>
  <c r="Y69" i="1"/>
  <c r="AA53" i="1"/>
  <c r="Z48" i="1"/>
  <c r="V43" i="1"/>
  <c r="V42" i="1" s="1"/>
  <c r="AA35" i="1"/>
  <c r="J78" i="6"/>
  <c r="M255" i="5"/>
  <c r="F241" i="5"/>
  <c r="L157" i="5"/>
  <c r="L89" i="5"/>
  <c r="K52" i="5"/>
  <c r="M27" i="5"/>
  <c r="M26" i="5" s="1"/>
  <c r="M81" i="5"/>
  <c r="M80" i="5" s="1"/>
  <c r="X186" i="1"/>
  <c r="Y186" i="1" s="1"/>
  <c r="X74" i="1"/>
  <c r="Y74" i="1" s="1"/>
  <c r="K26" i="5" l="1"/>
  <c r="V53" i="1"/>
  <c r="V76" i="1"/>
  <c r="F157" i="5"/>
  <c r="Z42" i="1"/>
  <c r="AB233" i="1"/>
  <c r="Y233" i="1" s="1"/>
  <c r="V149" i="1"/>
  <c r="V211" i="1"/>
  <c r="V106" i="1"/>
  <c r="AA42" i="1"/>
  <c r="AA233" i="1" s="1"/>
  <c r="K51" i="5"/>
  <c r="L268" i="5"/>
  <c r="L13" i="5" s="1"/>
  <c r="V172" i="1"/>
  <c r="H233" i="1"/>
  <c r="F92" i="1"/>
  <c r="V92" i="1"/>
  <c r="V89" i="1" s="1"/>
  <c r="F177" i="1"/>
  <c r="V177" i="1"/>
  <c r="F97" i="1"/>
  <c r="V97" i="1"/>
  <c r="V96" i="1" s="1"/>
  <c r="V87" i="1"/>
  <c r="V82" i="1" s="1"/>
  <c r="F87" i="1"/>
  <c r="F73" i="1"/>
  <c r="V73" i="1"/>
  <c r="V72" i="1" s="1"/>
  <c r="Q243" i="1"/>
  <c r="AA243" i="1" s="1"/>
  <c r="M20" i="5"/>
  <c r="M16" i="5" s="1"/>
  <c r="M268" i="5" s="1"/>
  <c r="K16" i="5"/>
  <c r="V179" i="1"/>
  <c r="V65" i="1"/>
  <c r="V219" i="1"/>
  <c r="AC42" i="1"/>
  <c r="F51" i="5"/>
  <c r="C90" i="6"/>
  <c r="C93" i="6" s="1"/>
  <c r="G93" i="6" s="1"/>
  <c r="C200" i="6" s="1"/>
  <c r="R67" i="6" s="1"/>
  <c r="Z233" i="1"/>
  <c r="W233" i="1" s="1"/>
  <c r="L12" i="5" l="1"/>
  <c r="T243" i="1"/>
  <c r="V233" i="1"/>
  <c r="X233" i="1"/>
  <c r="AA22" i="1"/>
  <c r="AA8" i="1"/>
  <c r="B7" i="3"/>
  <c r="B9" i="3" s="1"/>
  <c r="B8" i="3"/>
  <c r="B10" i="3" s="1"/>
  <c r="R202" i="6"/>
  <c r="B15" i="3" l="1"/>
  <c r="B11" i="3"/>
  <c r="B16" i="3" s="1"/>
</calcChain>
</file>

<file path=xl/sharedStrings.xml><?xml version="1.0" encoding="utf-8"?>
<sst xmlns="http://schemas.openxmlformats.org/spreadsheetml/2006/main" count="1879" uniqueCount="975">
  <si>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</si>
  <si>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</si>
  <si>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</si>
  <si>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</si>
  <si>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</si>
  <si>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</si>
  <si>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</si>
  <si>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</si>
  <si>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</si>
  <si>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</si>
  <si>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</si>
  <si>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</si>
  <si>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</si>
  <si>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</si>
  <si>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</si>
  <si>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</si>
  <si>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</si>
  <si>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</si>
  <si>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</si>
  <si>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</si>
  <si>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</si>
  <si>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</si>
  <si>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</si>
  <si>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</si>
  <si>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</si>
  <si>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</si>
  <si>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</si>
  <si>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</si>
  <si>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</si>
  <si>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</si>
  <si>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</si>
  <si>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</si>
  <si>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</si>
  <si>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</si>
  <si>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</si>
  <si>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</si>
  <si>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</si>
  <si>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</si>
  <si>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</si>
  <si>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</si>
  <si>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</si>
  <si>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</si>
  <si>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</si>
  <si>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</si>
  <si>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</si>
  <si>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</si>
  <si>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</si>
  <si>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</si>
  <si>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</si>
  <si>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</si>
  <si>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</si>
  <si>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</si>
  <si>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</si>
  <si>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</si>
  <si>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</si>
  <si>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</si>
  <si>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</si>
  <si>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</si>
  <si>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</si>
  <si>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</si>
  <si>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</si>
  <si>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</si>
  <si>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</si>
  <si>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</si>
  <si>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</si>
  <si>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</si>
  <si>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</si>
  <si>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</si>
  <si>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</si>
  <si>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</si>
  <si>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</si>
  <si>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</si>
  <si>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</si>
  <si>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</si>
  <si>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</si>
  <si>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</si>
  <si>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</si>
  <si>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</si>
  <si>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</si>
  <si>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</si>
  <si>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</si>
  <si>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</si>
  <si>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</si>
  <si>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</si>
  <si>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</si>
  <si>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</si>
  <si>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</si>
  <si>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</si>
  <si>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</si>
  <si>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</si>
  <si>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</si>
  <si>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</si>
  <si>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</si>
  <si>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</si>
  <si>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</si>
  <si>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</si>
  <si>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</si>
  <si>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</si>
  <si>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</si>
  <si>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</si>
  <si>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</si>
  <si>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</si>
  <si>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</si>
  <si>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</si>
  <si>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</si>
  <si>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</si>
  <si>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</si>
  <si>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</si>
  <si>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</si>
  <si>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</si>
  <si>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</si>
  <si>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</si>
  <si>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</si>
  <si>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</si>
  <si>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</si>
  <si>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</si>
  <si>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</si>
  <si>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</si>
  <si>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</si>
  <si>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</si>
  <si>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</si>
  <si>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</si>
  <si>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</si>
  <si>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</si>
  <si>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</si>
  <si>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</si>
  <si>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</si>
  <si>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</si>
  <si>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</si>
  <si>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</si>
  <si>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</si>
  <si>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</si>
  <si>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</si>
  <si>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</si>
  <si>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</si>
  <si>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</si>
  <si>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</si>
  <si>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</si>
  <si>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</si>
  <si>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</si>
  <si>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</si>
  <si>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</si>
  <si>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</si>
  <si>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</si>
  <si>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</si>
  <si>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</si>
  <si>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</si>
  <si>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</si>
  <si>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</si>
  <si>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</si>
  <si>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</si>
  <si>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</si>
  <si>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</si>
  <si>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</si>
  <si>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</si>
  <si>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</si>
  <si>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</si>
  <si>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</si>
  <si>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</si>
  <si>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</si>
  <si>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</si>
  <si>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</si>
  <si>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</si>
  <si>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</si>
  <si>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</si>
  <si>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</si>
  <si>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</si>
  <si>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</si>
  <si>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</si>
  <si>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</si>
  <si>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</si>
  <si>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</si>
  <si>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</si>
  <si>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</si>
  <si>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</si>
  <si>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</si>
  <si>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</si>
  <si>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</si>
  <si>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</si>
  <si>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</si>
  <si>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</si>
  <si>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</si>
  <si>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</si>
  <si>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</si>
  <si>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</si>
  <si>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</si>
  <si>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</si>
  <si>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</si>
  <si>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</si>
  <si>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</si>
  <si>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</si>
  <si>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</si>
  <si>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</si>
  <si>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</si>
  <si>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</si>
  <si>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</si>
  <si>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</si>
  <si>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</si>
  <si>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</si>
  <si>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</si>
  <si>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</si>
  <si>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</si>
  <si>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</si>
  <si>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</si>
  <si>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</si>
  <si>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</si>
  <si>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</si>
  <si>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</si>
  <si>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</si>
  <si>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</si>
  <si>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</si>
  <si>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</si>
  <si>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</si>
  <si>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</si>
  <si>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</si>
  <si>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</si>
  <si>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</si>
  <si>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</si>
  <si>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</si>
  <si>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</si>
  <si>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</si>
  <si>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</si>
  <si>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</si>
  <si>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</si>
  <si>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</si>
  <si>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</si>
  <si>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</si>
  <si>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</si>
  <si>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</si>
  <si>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</si>
  <si>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</si>
  <si>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</si>
  <si>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</si>
  <si>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</si>
  <si>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</si>
  <si>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</si>
  <si>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</si>
  <si>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</si>
  <si>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</si>
  <si>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</si>
  <si>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</si>
  <si>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</si>
  <si>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</si>
  <si>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</si>
  <si>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</si>
  <si>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</si>
  <si>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</si>
  <si>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</si>
  <si>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</si>
  <si>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</si>
  <si>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</si>
  <si>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</si>
  <si>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</si>
  <si>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</si>
  <si>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</si>
  <si>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</si>
  <si>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</si>
  <si>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</si>
  <si>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</si>
  <si>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</si>
  <si>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</si>
  <si>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</si>
  <si>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</si>
  <si>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</si>
  <si>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</si>
  <si>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</si>
  <si>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</si>
  <si>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</si>
  <si>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</si>
  <si>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</si>
  <si>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</si>
  <si>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</si>
  <si>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</si>
  <si>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</si>
  <si>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</si>
  <si>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</si>
  <si>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</si>
  <si>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</si>
  <si>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</si>
  <si>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</si>
  <si>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</si>
  <si>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</si>
  <si>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</si>
  <si>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</si>
  <si>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</si>
  <si>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</si>
  <si>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</si>
  <si>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</si>
  <si>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</si>
  <si>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</si>
  <si>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</si>
  <si>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</si>
  <si>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</si>
  <si>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</si>
  <si>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</si>
  <si>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</si>
  <si>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</si>
  <si>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</si>
  <si>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</si>
  <si>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</si>
  <si>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</si>
  <si>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</si>
  <si>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</si>
  <si>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</si>
  <si>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</si>
  <si>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</si>
  <si>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</si>
  <si>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</si>
  <si>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</si>
  <si>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</si>
  <si>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</si>
  <si>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</si>
  <si>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</si>
  <si>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</si>
  <si>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</si>
  <si>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</si>
  <si>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</si>
  <si>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</si>
  <si>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</si>
  <si>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</si>
  <si>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</si>
  <si>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</si>
  <si>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</si>
  <si>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</si>
  <si>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</si>
  <si>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</si>
  <si>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</si>
  <si>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</si>
  <si>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</si>
  <si>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</si>
  <si>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</si>
  <si>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</si>
  <si>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</si>
  <si>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</si>
  <si>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</si>
  <si>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</si>
  <si>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</si>
  <si>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</si>
  <si>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</si>
  <si>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</si>
  <si>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</si>
  <si>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</si>
  <si>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</si>
  <si>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</si>
  <si>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</si>
  <si>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</si>
  <si>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</si>
  <si>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</si>
  <si>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</si>
  <si>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</si>
  <si>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</si>
  <si>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</si>
  <si>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</si>
  <si>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</si>
  <si>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</si>
  <si>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</si>
  <si>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</si>
  <si>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</si>
  <si>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</si>
  <si>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</si>
  <si>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</si>
  <si>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</si>
  <si>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</si>
  <si>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</si>
  <si>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</si>
  <si>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</si>
  <si>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</si>
  <si>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</si>
  <si>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</si>
  <si>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</si>
  <si>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</si>
  <si>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</si>
  <si>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</si>
  <si>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</si>
  <si>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</si>
  <si>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</si>
  <si>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</si>
  <si>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</si>
  <si>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</si>
  <si>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</si>
  <si>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</si>
  <si>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</si>
  <si>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</si>
  <si>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</si>
  <si>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</si>
  <si>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</si>
  <si>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</si>
  <si>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</si>
  <si>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</si>
  <si>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</si>
  <si>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</si>
  <si>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</si>
  <si>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</si>
  <si>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</si>
  <si>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</si>
  <si>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</si>
  <si>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</si>
  <si>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</si>
  <si>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</si>
  <si>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</si>
  <si>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</si>
  <si>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</si>
  <si>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</si>
  <si>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</si>
  <si>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</si>
  <si>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</si>
  <si>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</si>
  <si>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</si>
  <si>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</si>
  <si>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</si>
  <si>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</si>
  <si>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</si>
  <si>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</si>
  <si>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</si>
  <si>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</si>
  <si>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</si>
  <si>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</si>
  <si>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</si>
  <si>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</si>
  <si>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</si>
  <si>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</si>
  <si>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</si>
  <si>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</si>
  <si>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</si>
  <si>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</si>
  <si>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</si>
  <si>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</si>
  <si>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</si>
  <si>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</si>
  <si>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</si>
  <si>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</si>
  <si>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</si>
  <si>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</si>
  <si>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</si>
  <si>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</si>
  <si>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</si>
  <si>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</si>
  <si>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</si>
  <si>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</si>
  <si>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</si>
  <si>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</si>
  <si>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</si>
  <si>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</si>
  <si>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</si>
  <si>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</si>
  <si>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</si>
  <si>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</si>
  <si>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</si>
  <si>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</si>
  <si>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</si>
  <si>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</si>
  <si>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</si>
  <si>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</si>
  <si>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</si>
  <si>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</si>
  <si>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</si>
  <si>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</si>
  <si>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</si>
  <si>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</si>
  <si>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</si>
  <si>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</si>
  <si>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</si>
  <si>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</si>
  <si>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</si>
  <si>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</si>
  <si>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</si>
  <si>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</si>
  <si>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</si>
  <si>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</si>
  <si>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</si>
  <si>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</si>
  <si>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</si>
  <si>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</si>
  <si>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</si>
  <si>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</si>
  <si>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</si>
  <si>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</si>
  <si>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</si>
  <si>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</si>
  <si>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</si>
  <si>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</si>
  <si>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</si>
  <si>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</si>
  <si>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</si>
  <si>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</si>
  <si>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</si>
  <si>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</si>
  <si>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</si>
  <si>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</si>
  <si>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</si>
  <si>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</si>
  <si>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</si>
  <si>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</si>
  <si>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</si>
  <si>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</si>
  <si>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</si>
  <si>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</si>
  <si>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</si>
  <si>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</si>
  <si>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</si>
  <si>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</si>
  <si>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</si>
  <si>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</si>
  <si>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</si>
  <si>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</si>
  <si>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</si>
  <si>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</si>
  <si>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</si>
  <si>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</si>
  <si>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</si>
  <si>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</si>
  <si>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</si>
  <si>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</si>
  <si>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</si>
  <si>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</si>
  <si>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</si>
  <si>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</si>
  <si>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</si>
  <si>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</si>
  <si>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</si>
  <si>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</si>
  <si>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</si>
  <si>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</si>
  <si>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</si>
  <si>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</si>
  <si>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</si>
  <si>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</si>
  <si>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</si>
  <si>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</si>
  <si>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</si>
  <si>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</si>
  <si>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</si>
  <si>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</si>
  <si>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</si>
  <si>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</si>
  <si>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</si>
  <si>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</si>
  <si>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</si>
  <si>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</si>
  <si>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</si>
  <si>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</si>
  <si>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</si>
  <si>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</si>
  <si>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</si>
  <si>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</si>
  <si>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</si>
  <si>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</si>
  <si>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</si>
  <si>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</si>
  <si>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</si>
  <si>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</si>
  <si>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</si>
  <si>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</si>
  <si>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</si>
  <si>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</si>
  <si>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</si>
  <si>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</si>
  <si>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</si>
  <si>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</si>
  <si>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</si>
  <si>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</si>
  <si>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</si>
  <si>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</si>
  <si>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</si>
  <si>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</si>
  <si>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</si>
  <si>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</si>
  <si>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</si>
  <si>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</si>
  <si>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</si>
  <si>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</si>
  <si>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</si>
  <si>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</si>
  <si>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</si>
  <si>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</si>
  <si>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</si>
  <si>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</si>
  <si>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</si>
  <si>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</si>
  <si>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</si>
  <si>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</si>
  <si>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</si>
  <si>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</si>
  <si>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</si>
  <si>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</si>
  <si>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</si>
  <si>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</si>
  <si>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</si>
  <si>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</si>
  <si>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</si>
  <si>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</si>
  <si>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</si>
  <si>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</si>
  <si>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</si>
  <si>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</si>
  <si>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</si>
  <si>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</si>
  <si>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</si>
  <si>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</si>
  <si>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</si>
  <si>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</si>
  <si>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</si>
  <si>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</si>
  <si>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</si>
  <si>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</si>
  <si>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</si>
  <si>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</si>
  <si>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</si>
  <si>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</si>
  <si>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</si>
  <si>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</si>
  <si>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</si>
  <si>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</si>
  <si>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</si>
  <si>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</si>
  <si>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</si>
  <si>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</si>
  <si>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</si>
  <si>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</si>
  <si>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</si>
  <si>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</si>
  <si>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</si>
  <si>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</si>
  <si>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</si>
  <si>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</si>
  <si>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</si>
  <si>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</si>
  <si>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</si>
  <si>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</si>
  <si>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</si>
  <si>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</si>
  <si>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</si>
  <si>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</si>
  <si>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</si>
  <si>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</si>
  <si>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</si>
  <si>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</si>
  <si>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</si>
  <si>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</si>
  <si>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</si>
  <si>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</si>
  <si>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</si>
  <si>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</si>
  <si>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</si>
  <si>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</si>
  <si>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</si>
  <si>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</si>
  <si>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</si>
  <si>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</si>
  <si>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</si>
  <si>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</si>
  <si>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</si>
  <si>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</si>
  <si>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</si>
  <si>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</si>
  <si>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</si>
  <si>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</si>
  <si>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</si>
  <si>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</si>
  <si>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</si>
  <si>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</si>
  <si>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</si>
  <si>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</si>
  <si>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</si>
  <si>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</si>
  <si>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</si>
  <si>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</si>
  <si>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</si>
  <si>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</si>
  <si>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</si>
  <si>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</si>
  <si>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</si>
  <si>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</si>
  <si>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</si>
  <si>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</si>
  <si>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</si>
  <si>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</si>
  <si>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</si>
  <si>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</si>
  <si>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</si>
  <si>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</si>
  <si>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</si>
  <si>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</si>
  <si>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</si>
  <si>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</si>
  <si>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</si>
  <si>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</si>
  <si>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</si>
  <si>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</si>
  <si>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</si>
  <si>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</si>
  <si>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</si>
  <si>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</si>
  <si>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</si>
  <si>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</si>
  <si>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</si>
  <si>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</si>
  <si>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</si>
  <si>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</si>
  <si>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</si>
  <si>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</si>
  <si>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</si>
  <si>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</si>
  <si>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</si>
  <si>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</si>
  <si>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</si>
  <si>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</si>
  <si>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</si>
  <si>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</si>
  <si>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</si>
  <si>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</si>
  <si>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</si>
  <si>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</si>
  <si>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</si>
  <si>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</si>
  <si>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</si>
  <si>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</si>
  <si>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</si>
  <si>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</si>
  <si>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</si>
  <si>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</si>
  <si>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</si>
  <si>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</si>
  <si>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</si>
  <si>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</si>
  <si>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</si>
  <si>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</si>
  <si>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</si>
  <si>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</si>
  <si>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</si>
  <si>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</si>
  <si>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</si>
  <si>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</si>
  <si>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</si>
  <si>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</si>
  <si>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</si>
  <si>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</si>
  <si>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</si>
  <si>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</si>
  <si>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</si>
  <si>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</si>
  <si>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</si>
  <si>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</si>
  <si>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</si>
  <si>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</si>
  <si>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</si>
  <si>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</si>
  <si>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</si>
  <si>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</si>
  <si>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</si>
  <si>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</si>
  <si>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</si>
  <si>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</si>
  <si>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</si>
  <si>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</si>
  <si>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</si>
  <si>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</si>
  <si>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</si>
  <si>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</si>
  <si>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</si>
  <si>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</si>
  <si>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</si>
  <si>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</si>
  <si>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</si>
  <si>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</si>
  <si>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</si>
  <si>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</si>
  <si>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</si>
  <si>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</si>
  <si>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</si>
  <si>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</si>
  <si>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</si>
  <si>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</si>
  <si>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</si>
  <si>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</si>
  <si>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</si>
  <si>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</si>
  <si>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</si>
  <si>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</si>
  <si>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</si>
  <si>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</si>
  <si>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</si>
  <si>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</si>
  <si>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</si>
  <si>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</si>
  <si>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</si>
  <si>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</si>
  <si>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</si>
  <si>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</si>
  <si>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</si>
  <si>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</si>
  <si>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</si>
  <si>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</si>
  <si>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</si>
  <si>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</si>
  <si>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</si>
  <si>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</si>
  <si>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</si>
  <si>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</si>
  <si>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</si>
  <si>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</si>
  <si>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</si>
  <si>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</si>
  <si>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</si>
  <si>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</si>
  <si>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</si>
  <si>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</si>
  <si>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</si>
  <si>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</si>
  <si>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</si>
  <si>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</si>
  <si>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</si>
  <si>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</si>
  <si>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</si>
  <si>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</si>
  <si>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</si>
  <si>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</si>
  <si>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</si>
  <si>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</si>
  <si>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</si>
  <si>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</si>
  <si>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</si>
  <si>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</si>
  <si>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</si>
  <si>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</si>
  <si>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</si>
  <si>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</si>
  <si>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</si>
  <si>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</si>
  <si>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</si>
  <si>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</si>
  <si>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</si>
  <si>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</si>
  <si>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</si>
  <si>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</si>
  <si>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</si>
  <si>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</si>
  <si>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</si>
  <si>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</si>
  <si>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</si>
  <si>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</si>
  <si>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</si>
  <si>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</si>
  <si>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</si>
  <si>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</si>
  <si>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</si>
  <si>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</si>
  <si>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</si>
  <si>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</si>
  <si>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</si>
  <si>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</si>
  <si>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</si>
  <si>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</si>
  <si>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</si>
  <si>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</si>
  <si>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</si>
  <si>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</si>
  <si>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</si>
  <si>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</si>
  <si>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</si>
  <si>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</si>
  <si>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</si>
  <si>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</si>
  <si>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</si>
  <si>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</si>
  <si>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</si>
  <si>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</si>
  <si>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</si>
  <si>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</si>
  <si>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</si>
  <si>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</si>
  <si>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</si>
  <si>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</si>
  <si>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</si>
  <si>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</si>
  <si>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</si>
  <si>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</si>
  <si>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</si>
  <si>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</si>
  <si>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</si>
  <si>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</si>
  <si>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</si>
  <si>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</si>
  <si>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</si>
  <si>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</si>
  <si>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</si>
  <si>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</si>
  <si>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</si>
  <si>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</si>
  <si>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</si>
  <si>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</si>
  <si>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</si>
  <si>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</si>
  <si>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</si>
  <si>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</si>
  <si>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</si>
  <si>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</si>
  <si>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</si>
  <si>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</si>
  <si>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</si>
  <si>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</si>
  <si>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</si>
  <si>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</si>
  <si>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</si>
  <si>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</si>
  <si>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</si>
  <si>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</si>
  <si>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</si>
  <si>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</si>
  <si>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</si>
  <si>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</si>
  <si>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</si>
  <si>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MEMÓRIA DE CÁLCULO</t>
  </si>
  <si>
    <t>DESCRIÇÃO DOS SERVIÇOS</t>
  </si>
  <si>
    <t>UN.</t>
  </si>
  <si>
    <t>Locação convencional de obra, utilizando gabarito de tábuas corridas pontaletadas a cada 2,00m - 2 utilizações.</t>
  </si>
  <si>
    <t xml:space="preserve">Área = 30,00x2+37,00x2 </t>
  </si>
  <si>
    <t>Área da placa: 2,50 x 4,0 = 10,00 m²</t>
  </si>
  <si>
    <t>Extensão linear (seção 40x40cm) ?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</si>
  <si>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</si>
  <si>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</si>
  <si>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V = (52x0,8x0,7x0,60)+(14x0,8x0,7x0,60)+(7x0,8x0,7x0,60)+(4x0,9x0,7x0,60)</t>
  </si>
  <si>
    <t>A = (52x0,8x0,7)+(14x0,8x0,7)+(7x0,8x0,7)+(4x0,9x0,7)</t>
  </si>
  <si>
    <t>V = Área de regularização (43,4) X 0,05</t>
  </si>
  <si>
    <t xml:space="preserve">Fabricação, montagem e desmontagem de fôrma para sapata, em madeira serrada, E=25 mm, 4 utilizações. 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</si>
  <si>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</si>
  <si>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</si>
  <si>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</si>
  <si>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</si>
  <si>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</si>
  <si>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</si>
  <si>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Sapatas 60 x 80 cm, com 60 cm de altura</t>
  </si>
  <si>
    <t>=4*(0,6*2+0,80*2+0,05*2)*0,60</t>
  </si>
  <si>
    <t>Armação de sapata utilizando aço CA-6O de 5 mm - montagem.</t>
  </si>
  <si>
    <t>Conforme projeto estrutural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</si>
  <si>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</si>
  <si>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</si>
  <si>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</si>
  <si>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</si>
  <si>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</si>
  <si>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</si>
  <si>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m3</t>
  </si>
  <si>
    <t>Comprimento da Base</t>
  </si>
  <si>
    <t>Largura da Base</t>
  </si>
  <si>
    <t>0,60</t>
  </si>
  <si>
    <t>Altura da Base</t>
  </si>
  <si>
    <t>0,25</t>
  </si>
  <si>
    <t>Comprimento do Fuste</t>
  </si>
  <si>
    <t>0,30</t>
  </si>
  <si>
    <t>Largura do Fuste</t>
  </si>
  <si>
    <t>0,15</t>
  </si>
  <si>
    <t>Altura da Piramide</t>
  </si>
  <si>
    <t>0,10</t>
  </si>
  <si>
    <t>Comp da Base</t>
  </si>
  <si>
    <t>Lag. Da Base</t>
  </si>
  <si>
    <t>Total</t>
  </si>
  <si>
    <t>V1 =</t>
  </si>
  <si>
    <t>m  x</t>
  </si>
  <si>
    <t>m  =</t>
  </si>
  <si>
    <t>V2 =</t>
  </si>
  <si>
    <t>Comp. Da Base</t>
  </si>
  <si>
    <t>Larg. Da Base</t>
  </si>
  <si>
    <t>S1 =</t>
  </si>
  <si>
    <t>Comp do Fuste</t>
  </si>
  <si>
    <t>Larg do Fuste</t>
  </si>
  <si>
    <t>Subtotal (V1 + V2) =</t>
  </si>
  <si>
    <t>Volume</t>
  </si>
  <si>
    <t>Qtd</t>
  </si>
  <si>
    <t>Total  =</t>
  </si>
  <si>
    <t>m³  x</t>
  </si>
  <si>
    <t>und  =</t>
  </si>
  <si>
    <t xml:space="preserve">Lançamento com uso de baldes, adensamento e acabamento de concreto em estruturas. </t>
  </si>
  <si>
    <t>Será adotado o mesmo volume calculado no item 3.1.12</t>
  </si>
  <si>
    <t>Área de Fôrma de Sapatas</t>
  </si>
  <si>
    <t>01/09/2022 a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</si>
</sst>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4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 Narrow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 Narrow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9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6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40" fillId="0" borderId="0" xfId="2" applyAlignment="1">
      <alignment horizontal="center"/>
    </xf>
    <xf numFmtId="0" fontId="40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24" fillId="0" borderId="1" xfId="1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center" wrapText="1"/>
    </xf>
    <xf numFmtId="43" fontId="4" fillId="0" borderId="1" xfId="1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44" fontId="4" fillId="0" borderId="1" xfId="3" applyFont="1" applyFill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3" fontId="4" fillId="0" borderId="0" xfId="11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 wrapText="1"/>
    </xf>
    <xf numFmtId="10" fontId="4" fillId="0" borderId="0" xfId="1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2" fontId="6" fillId="3" borderId="0" xfId="0" applyNumberFormat="1" applyFont="1" applyFill="1" applyAlignment="1">
      <alignment horizontal="left" vertical="center" wrapText="1"/>
    </xf>
    <xf numFmtId="170" fontId="6" fillId="3" borderId="0" xfId="0" applyNumberFormat="1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2" fontId="6" fillId="3" borderId="0" xfId="0" applyNumberFormat="1" applyFont="1" applyFill="1" applyAlignment="1">
      <alignment horizontal="center" vertical="center" wrapText="1"/>
    </xf>
    <xf numFmtId="170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171" fontId="6" fillId="3" borderId="0" xfId="0" applyNumberFormat="1" applyFont="1" applyFill="1" applyAlignment="1">
      <alignment horizontal="left" vertical="center" wrapText="1"/>
    </xf>
    <xf numFmtId="171" fontId="6" fillId="3" borderId="0" xfId="0" applyNumberFormat="1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4" fontId="4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 wrapText="1"/>
    </xf>
    <xf numFmtId="167" fontId="3" fillId="3" borderId="1" xfId="13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25" fillId="0" borderId="1" xfId="0" applyNumberFormat="1" applyFont="1" applyBorder="1" applyAlignment="1">
      <alignment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2" fontId="4" fillId="0" borderId="1" xfId="11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4" fontId="3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4" fillId="0" borderId="1" xfId="11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44" fontId="26" fillId="4" borderId="1" xfId="3" applyFont="1" applyFill="1" applyBorder="1" applyAlignment="1">
      <alignment horizontal="center" vertical="center" wrapText="1"/>
    </xf>
    <xf numFmtId="4" fontId="27" fillId="4" borderId="1" xfId="3" applyNumberFormat="1" applyFont="1" applyFill="1" applyBorder="1" applyAlignment="1">
      <alignment horizontal="center" vertical="center" wrapText="1"/>
    </xf>
    <xf numFmtId="10" fontId="27" fillId="4" borderId="1" xfId="3" applyNumberFormat="1" applyFont="1" applyFill="1" applyBorder="1" applyAlignment="1">
      <alignment horizontal="center" vertical="center" wrapText="1"/>
    </xf>
    <xf numFmtId="44" fontId="27" fillId="4" borderId="1" xfId="3" applyFont="1" applyFill="1" applyBorder="1" applyAlignment="1">
      <alignment horizontal="center" vertical="center" wrapText="1"/>
    </xf>
    <xf numFmtId="44" fontId="27" fillId="4" borderId="1" xfId="3" applyFont="1" applyFill="1" applyBorder="1" applyAlignment="1">
      <alignment horizontal="right" vertical="center" wrapText="1"/>
    </xf>
    <xf numFmtId="43" fontId="26" fillId="4" borderId="1" xfId="11" applyFont="1" applyFill="1" applyBorder="1" applyAlignment="1">
      <alignment vertical="center" wrapText="1"/>
    </xf>
    <xf numFmtId="2" fontId="26" fillId="4" borderId="1" xfId="3" applyNumberFormat="1" applyFont="1" applyFill="1" applyBorder="1" applyAlignment="1">
      <alignment horizontal="center" vertical="center" wrapText="1"/>
    </xf>
    <xf numFmtId="44" fontId="28" fillId="0" borderId="1" xfId="3" applyFont="1" applyFill="1" applyBorder="1" applyAlignment="1">
      <alignment horizontal="right" vertical="center" wrapText="1"/>
    </xf>
    <xf numFmtId="4" fontId="28" fillId="0" borderId="1" xfId="3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4" fontId="28" fillId="0" borderId="1" xfId="3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43" fontId="20" fillId="0" borderId="1" xfId="1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4" fontId="26" fillId="4" borderId="1" xfId="3" applyNumberFormat="1" applyFont="1" applyFill="1" applyBorder="1" applyAlignment="1">
      <alignment horizontal="center" vertical="center" wrapText="1"/>
    </xf>
    <xf numFmtId="2" fontId="26" fillId="4" borderId="1" xfId="3" applyNumberFormat="1" applyFont="1" applyFill="1" applyBorder="1" applyAlignment="1">
      <alignment vertical="center" wrapText="1"/>
    </xf>
    <xf numFmtId="4" fontId="26" fillId="4" borderId="1" xfId="3" applyNumberFormat="1" applyFont="1" applyFill="1" applyBorder="1" applyAlignment="1">
      <alignment vertical="center" wrapText="1"/>
    </xf>
    <xf numFmtId="169" fontId="26" fillId="4" borderId="1" xfId="3" applyNumberFormat="1" applyFont="1" applyFill="1" applyBorder="1" applyAlignment="1">
      <alignment vertical="center" wrapText="1"/>
    </xf>
    <xf numFmtId="44" fontId="27" fillId="4" borderId="1" xfId="3" applyFont="1" applyFill="1" applyBorder="1" applyAlignment="1">
      <alignment vertical="center" wrapText="1"/>
    </xf>
    <xf numFmtId="43" fontId="27" fillId="0" borderId="0" xfId="0" applyNumberFormat="1" applyFont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vertical="center"/>
    </xf>
    <xf numFmtId="4" fontId="26" fillId="4" borderId="1" xfId="3" applyNumberFormat="1" applyFont="1" applyFill="1" applyBorder="1" applyAlignment="1">
      <alignment horizontal="right" vertical="center" wrapText="1"/>
    </xf>
    <xf numFmtId="43" fontId="32" fillId="4" borderId="0" xfId="0" applyNumberFormat="1" applyFont="1" applyFill="1" applyAlignment="1">
      <alignment horizontal="center" vertical="center" wrapText="1"/>
    </xf>
    <xf numFmtId="4" fontId="26" fillId="4" borderId="1" xfId="11" applyNumberFormat="1" applyFont="1" applyFill="1" applyBorder="1" applyAlignment="1">
      <alignment vertical="center" wrapText="1"/>
    </xf>
    <xf numFmtId="43" fontId="32" fillId="0" borderId="0" xfId="0" applyNumberFormat="1" applyFont="1" applyAlignment="1">
      <alignment horizontal="center" vertical="center" wrapText="1"/>
    </xf>
    <xf numFmtId="0" fontId="27" fillId="4" borderId="0" xfId="0" applyFont="1" applyFill="1" applyAlignment="1">
      <alignment vertical="center"/>
    </xf>
    <xf numFmtId="43" fontId="26" fillId="4" borderId="1" xfId="11" applyFont="1" applyFill="1" applyBorder="1" applyAlignment="1">
      <alignment horizontal="right" vertical="center" wrapText="1"/>
    </xf>
    <xf numFmtId="169" fontId="26" fillId="4" borderId="1" xfId="3" applyNumberFormat="1" applyFont="1" applyFill="1" applyBorder="1" applyAlignment="1">
      <alignment horizontal="right" vertical="center" wrapText="1"/>
    </xf>
    <xf numFmtId="44" fontId="27" fillId="4" borderId="0" xfId="0" applyNumberFormat="1" applyFont="1" applyFill="1" applyAlignment="1">
      <alignment vertical="center" wrapText="1"/>
    </xf>
    <xf numFmtId="43" fontId="27" fillId="4" borderId="1" xfId="11" applyFont="1" applyFill="1" applyBorder="1" applyAlignment="1">
      <alignment vertical="center" wrapText="1"/>
    </xf>
    <xf numFmtId="10" fontId="26" fillId="4" borderId="1" xfId="3" applyNumberFormat="1" applyFont="1" applyFill="1" applyBorder="1" applyAlignment="1">
      <alignment horizontal="center" vertical="center" wrapText="1"/>
    </xf>
    <xf numFmtId="169" fontId="26" fillId="4" borderId="1" xfId="3" applyNumberFormat="1" applyFont="1" applyFill="1" applyBorder="1" applyAlignment="1">
      <alignment horizontal="center" vertical="center" wrapText="1"/>
    </xf>
    <xf numFmtId="44" fontId="26" fillId="4" borderId="1" xfId="3" applyFont="1" applyFill="1" applyBorder="1" applyAlignment="1">
      <alignment vertical="center" wrapText="1"/>
    </xf>
    <xf numFmtId="43" fontId="26" fillId="0" borderId="0" xfId="0" applyNumberFormat="1" applyFont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/>
    </xf>
    <xf numFmtId="43" fontId="32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>
      <alignment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4" fillId="0" borderId="0" xfId="11" applyNumberFormat="1" applyFont="1" applyFill="1" applyAlignment="1">
      <alignment horizontal="center" vertical="center"/>
    </xf>
    <xf numFmtId="43" fontId="3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vertical="center"/>
    </xf>
    <xf numFmtId="4" fontId="35" fillId="0" borderId="0" xfId="0" applyNumberFormat="1" applyFont="1" applyAlignment="1">
      <alignment horizontal="center" vertical="center" wrapText="1"/>
    </xf>
    <xf numFmtId="43" fontId="26" fillId="4" borderId="1" xfId="3" applyNumberFormat="1" applyFont="1" applyFill="1" applyBorder="1" applyAlignment="1">
      <alignment horizontal="right" vertical="center" wrapText="1"/>
    </xf>
    <xf numFmtId="43" fontId="27" fillId="4" borderId="1" xfId="3" applyNumberFormat="1" applyFont="1" applyFill="1" applyBorder="1" applyAlignment="1">
      <alignment vertical="center" wrapText="1"/>
    </xf>
    <xf numFmtId="43" fontId="26" fillId="4" borderId="1" xfId="3" applyNumberFormat="1" applyFont="1" applyFill="1" applyBorder="1" applyAlignment="1">
      <alignment vertical="center" wrapText="1"/>
    </xf>
    <xf numFmtId="43" fontId="27" fillId="4" borderId="1" xfId="0" applyNumberFormat="1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7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44" fontId="27" fillId="0" borderId="1" xfId="3" applyFont="1" applyFill="1" applyBorder="1" applyAlignment="1">
      <alignment horizontal="center" vertical="center" wrapText="1"/>
    </xf>
    <xf numFmtId="44" fontId="27" fillId="0" borderId="1" xfId="3" applyFont="1" applyFill="1" applyBorder="1" applyAlignment="1">
      <alignment horizontal="right" vertical="center" wrapText="1"/>
    </xf>
    <xf numFmtId="43" fontId="27" fillId="0" borderId="1" xfId="11" applyFont="1" applyFill="1" applyBorder="1" applyAlignment="1">
      <alignment vertical="center" wrapText="1"/>
    </xf>
    <xf numFmtId="43" fontId="26" fillId="0" borderId="1" xfId="1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26" fillId="0" borderId="1" xfId="3" applyNumberFormat="1" applyFont="1" applyFill="1" applyBorder="1" applyAlignment="1">
      <alignment horizontal="right" vertical="center" wrapText="1"/>
    </xf>
    <xf numFmtId="10" fontId="26" fillId="0" borderId="1" xfId="3" applyNumberFormat="1" applyFont="1" applyFill="1" applyBorder="1" applyAlignment="1">
      <alignment horizontal="right" vertical="center" wrapText="1"/>
    </xf>
    <xf numFmtId="169" fontId="26" fillId="0" borderId="1" xfId="3" applyNumberFormat="1" applyFont="1" applyFill="1" applyBorder="1" applyAlignment="1">
      <alignment vertical="center" wrapText="1"/>
    </xf>
    <xf numFmtId="4" fontId="26" fillId="0" borderId="1" xfId="11" applyNumberFormat="1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4" fontId="26" fillId="0" borderId="1" xfId="3" applyFont="1" applyFill="1" applyBorder="1" applyAlignment="1">
      <alignment vertical="center" wrapText="1"/>
    </xf>
    <xf numFmtId="10" fontId="27" fillId="0" borderId="1" xfId="3" applyNumberFormat="1" applyFont="1" applyFill="1" applyBorder="1" applyAlignment="1">
      <alignment horizontal="center" vertical="center" wrapText="1"/>
    </xf>
    <xf numFmtId="44" fontId="27" fillId="0" borderId="1" xfId="3" applyFont="1" applyFill="1" applyBorder="1" applyAlignment="1">
      <alignment vertical="center" wrapText="1"/>
    </xf>
    <xf numFmtId="43" fontId="27" fillId="0" borderId="1" xfId="3" applyNumberFormat="1" applyFont="1" applyFill="1" applyBorder="1" applyAlignment="1">
      <alignment vertical="center" wrapText="1"/>
    </xf>
    <xf numFmtId="43" fontId="27" fillId="0" borderId="1" xfId="0" applyNumberFormat="1" applyFont="1" applyBorder="1" applyAlignment="1">
      <alignment vertical="center" wrapText="1"/>
    </xf>
    <xf numFmtId="2" fontId="27" fillId="0" borderId="1" xfId="3" applyNumberFormat="1" applyFont="1" applyFill="1" applyBorder="1" applyAlignment="1">
      <alignment horizontal="right" vertical="center" wrapText="1"/>
    </xf>
    <xf numFmtId="43" fontId="31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11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2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2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11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11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3" xfId="0" applyFont="1" applyFill="1" applyBorder="1" applyAlignment="1">
      <alignment horizontal="centerContinuous"/>
    </xf>
    <xf numFmtId="0" fontId="11" fillId="6" borderId="14" xfId="0" applyFont="1" applyFill="1" applyBorder="1" applyAlignment="1">
      <alignment horizontal="centerContinuous"/>
    </xf>
    <xf numFmtId="0" fontId="11" fillId="6" borderId="15" xfId="0" applyFont="1" applyFill="1" applyBorder="1" applyAlignment="1">
      <alignment horizontal="centerContinuous"/>
    </xf>
    <xf numFmtId="0" fontId="24" fillId="0" borderId="7" xfId="0" applyFont="1" applyBorder="1" applyAlignment="1" applyProtection="1">
      <alignment horizontal="centerContinuous" vertical="center" wrapText="1"/>
      <protection locked="0"/>
    </xf>
    <xf numFmtId="0" fontId="24" fillId="0" borderId="2" xfId="0" applyFont="1" applyBorder="1" applyAlignment="1" applyProtection="1">
      <alignment horizontal="centerContinuous" vertical="center" wrapText="1"/>
      <protection locked="0"/>
    </xf>
    <xf numFmtId="0" fontId="24" fillId="0" borderId="11" xfId="0" applyFont="1" applyBorder="1" applyAlignment="1" applyProtection="1">
      <alignment horizontal="centerContinuous" vertical="center" wrapText="1"/>
      <protection locked="0"/>
    </xf>
    <xf numFmtId="0" fontId="24" fillId="0" borderId="7" xfId="0" applyFont="1" applyBorder="1" applyAlignment="1">
      <alignment horizontal="centerContinuous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1" xfId="0" applyFont="1" applyBorder="1" applyAlignment="1">
      <alignment horizontal="centerContinuous" vertical="center" wrapText="1"/>
    </xf>
    <xf numFmtId="10" fontId="3" fillId="0" borderId="7" xfId="8" applyNumberFormat="1" applyFont="1" applyFill="1" applyBorder="1" applyAlignment="1" applyProtection="1">
      <alignment horizontal="centerContinuous" vertical="center" wrapText="1"/>
    </xf>
    <xf numFmtId="10" fontId="3" fillId="0" borderId="2" xfId="8" applyNumberFormat="1" applyFont="1" applyFill="1" applyBorder="1" applyAlignment="1" applyProtection="1">
      <alignment horizontal="centerContinuous" vertical="center" wrapText="1"/>
    </xf>
    <xf numFmtId="10" fontId="3" fillId="0" borderId="11" xfId="8" applyNumberFormat="1" applyFont="1" applyFill="1" applyBorder="1" applyAlignment="1" applyProtection="1">
      <alignment horizontal="centerContinuous" vertical="center" wrapText="1"/>
    </xf>
    <xf numFmtId="168" fontId="3" fillId="0" borderId="7" xfId="11" applyNumberFormat="1" applyFont="1" applyFill="1" applyBorder="1" applyAlignment="1" applyProtection="1">
      <alignment horizontal="centerContinuous" vertical="center" wrapText="1"/>
    </xf>
    <xf numFmtId="168" fontId="3" fillId="0" borderId="16" xfId="11" applyNumberFormat="1" applyFont="1" applyFill="1" applyBorder="1" applyAlignment="1" applyProtection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16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23" fillId="3" borderId="0" xfId="0" applyFont="1" applyFill="1" applyAlignment="1">
      <alignment horizontal="left" vertical="center" wrapText="1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11" xfId="8" applyNumberFormat="1" applyFont="1" applyFill="1" applyBorder="1" applyAlignment="1" applyProtection="1">
      <alignment horizontal="centerContinuous" vertical="center" wrapText="1"/>
      <protection hidden="1"/>
    </xf>
    <xf numFmtId="0" fontId="38" fillId="0" borderId="7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11" xfId="0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right" vertical="center"/>
    </xf>
    <xf numFmtId="14" fontId="3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11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7" xfId="0" applyNumberFormat="1" applyFont="1" applyBorder="1" applyAlignment="1" applyProtection="1">
      <alignment horizontal="centerContinuous" vertical="center" wrapText="1"/>
      <protection locked="0"/>
    </xf>
    <xf numFmtId="14" fontId="3" fillId="0" borderId="16" xfId="0" applyNumberFormat="1" applyFont="1" applyBorder="1" applyAlignment="1" applyProtection="1">
      <alignment horizontal="centerContinuous" vertical="center" wrapText="1"/>
      <protection locked="0"/>
    </xf>
    <xf numFmtId="0" fontId="34" fillId="0" borderId="7" xfId="0" applyFont="1" applyBorder="1" applyAlignment="1">
      <alignment horizontal="centerContinuous" vertical="center" wrapText="1"/>
    </xf>
    <xf numFmtId="0" fontId="34" fillId="0" borderId="2" xfId="0" applyFont="1" applyBorder="1" applyAlignment="1">
      <alignment horizontal="centerContinuous" vertical="center" wrapText="1"/>
    </xf>
    <xf numFmtId="0" fontId="34" fillId="0" borderId="11" xfId="0" applyFont="1" applyBorder="1" applyAlignment="1">
      <alignment horizontal="centerContinuous" vertical="center" wrapText="1"/>
    </xf>
    <xf numFmtId="0" fontId="7" fillId="7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3" fillId="3" borderId="7" xfId="5" applyNumberFormat="1" applyFont="1" applyFill="1" applyBorder="1" applyAlignment="1">
      <alignment horizontal="left" vertical="center" wrapText="1"/>
    </xf>
    <xf numFmtId="49" fontId="3" fillId="3" borderId="2" xfId="5" applyNumberFormat="1" applyFont="1" applyFill="1" applyBorder="1" applyAlignment="1">
      <alignment horizontal="left" vertical="center" wrapText="1"/>
    </xf>
    <xf numFmtId="49" fontId="3" fillId="3" borderId="11" xfId="5" applyNumberFormat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centerContinuous" vertical="center" wrapText="1"/>
    </xf>
    <xf numFmtId="0" fontId="23" fillId="3" borderId="0" xfId="0" applyFont="1" applyFill="1" applyAlignment="1">
      <alignment horizontal="centerContinuous" vertical="center" wrapText="1"/>
    </xf>
    <xf numFmtId="0" fontId="7" fillId="7" borderId="0" xfId="0" applyFont="1" applyFill="1" applyAlignment="1">
      <alignment horizontal="centerContinuous" vertical="center" wrapText="1"/>
    </xf>
    <xf numFmtId="2" fontId="7" fillId="7" borderId="1" xfId="0" applyNumberFormat="1" applyFont="1" applyFill="1" applyBorder="1" applyAlignment="1">
      <alignment horizontal="left" vertical="center" wrapText="1"/>
    </xf>
    <xf numFmtId="167" fontId="4" fillId="0" borderId="19" xfId="11" applyNumberFormat="1" applyFont="1" applyFill="1" applyBorder="1" applyAlignment="1">
      <alignment horizontal="centerContinuous" vertical="center"/>
    </xf>
    <xf numFmtId="167" fontId="4" fillId="0" borderId="2" xfId="11" applyNumberFormat="1" applyFont="1" applyFill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 wrapText="1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0" fontId="3" fillId="0" borderId="11" xfId="8" applyNumberFormat="1" applyFont="1" applyFill="1" applyBorder="1" applyAlignment="1" applyProtection="1">
      <alignment horizontal="centerContinuous" vertical="center" wrapText="1"/>
      <protection locked="0"/>
    </xf>
    <xf numFmtId="4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168" fontId="42" fillId="0" borderId="0" xfId="0" applyNumberFormat="1" applyFont="1" applyAlignment="1">
      <alignment vertical="center" wrapText="1"/>
    </xf>
    <xf numFmtId="4" fontId="43" fillId="0" borderId="0" xfId="0" applyNumberFormat="1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11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11" xfId="11" applyNumberFormat="1" applyFont="1" applyFill="1" applyBorder="1" applyAlignment="1">
      <alignment horizontal="left" vertical="center" wrapText="1"/>
    </xf>
  </cellXfs>
  <cellStyles count="14">
    <cellStyle name="Excel Built-in Normal" xfId="1" xr:uid="{00000000-0005-0000-0000-000000000000}"/>
    <cellStyle name="Hiperlink" xfId="2" builtinId="8"/>
    <cellStyle name="Moeda" xfId="3" builtinId="4"/>
    <cellStyle name="Moeda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Porcentagem" xfId="8" builtinId="5"/>
    <cellStyle name="Porcentagem 2" xfId="9" xr:uid="{00000000-0005-0000-0000-000009000000}"/>
    <cellStyle name="Porcentagem 2 2" xfId="10" xr:uid="{00000000-0005-0000-0000-00000A000000}"/>
    <cellStyle name="Separador de milhares 2" xfId="12" xr:uid="{00000000-0005-0000-0000-00000C000000}"/>
    <cellStyle name="Vírgula" xfId="11" builtinId="3"/>
    <cellStyle name="Vírgula 5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7" name="Picture 2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8" name="Picture 2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9" name="Picture 2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40" name="Picture 2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415925</xdr:colOff>
      <xdr:row>3</xdr:row>
      <xdr:rowOff>0</xdr:rowOff>
    </xdr:to>
    <xdr:pic>
      <xdr:nvPicPr>
        <xdr:cNvPr id="4141" name="Imagem 5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1125" y="0"/>
          <a:ext cx="32766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28575</xdr:rowOff>
    </xdr:to>
    <xdr:pic>
      <xdr:nvPicPr>
        <xdr:cNvPr id="5169" name="Imagem 2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7625"/>
          <a:ext cx="14573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85</xdr:row>
      <xdr:rowOff>85725</xdr:rowOff>
    </xdr:from>
    <xdr:to>
      <xdr:col>4</xdr:col>
      <xdr:colOff>466725</xdr:colOff>
      <xdr:row>86</xdr:row>
      <xdr:rowOff>190500</xdr:rowOff>
    </xdr:to>
    <xdr:pic>
      <xdr:nvPicPr>
        <xdr:cNvPr id="5170" name="Imagem 1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15754350"/>
          <a:ext cx="1676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111</xdr:row>
      <xdr:rowOff>85725</xdr:rowOff>
    </xdr:from>
    <xdr:to>
      <xdr:col>4</xdr:col>
      <xdr:colOff>476250</xdr:colOff>
      <xdr:row>112</xdr:row>
      <xdr:rowOff>180975</xdr:rowOff>
    </xdr:to>
    <xdr:pic>
      <xdr:nvPicPr>
        <xdr:cNvPr id="5171" name="Imagem 3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023110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137</xdr:row>
      <xdr:rowOff>85725</xdr:rowOff>
    </xdr:from>
    <xdr:to>
      <xdr:col>4</xdr:col>
      <xdr:colOff>476250</xdr:colOff>
      <xdr:row>138</xdr:row>
      <xdr:rowOff>180975</xdr:rowOff>
    </xdr:to>
    <xdr:pic>
      <xdr:nvPicPr>
        <xdr:cNvPr id="5172" name="Imagem 4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470785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163</xdr:row>
      <xdr:rowOff>85725</xdr:rowOff>
    </xdr:from>
    <xdr:to>
      <xdr:col>4</xdr:col>
      <xdr:colOff>476250</xdr:colOff>
      <xdr:row>164</xdr:row>
      <xdr:rowOff>180975</xdr:rowOff>
    </xdr:to>
    <xdr:pic>
      <xdr:nvPicPr>
        <xdr:cNvPr id="5173" name="Imagem 5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918460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189</xdr:row>
      <xdr:rowOff>85725</xdr:rowOff>
    </xdr:from>
    <xdr:to>
      <xdr:col>4</xdr:col>
      <xdr:colOff>476250</xdr:colOff>
      <xdr:row>190</xdr:row>
      <xdr:rowOff>180975</xdr:rowOff>
    </xdr:to>
    <xdr:pic>
      <xdr:nvPicPr>
        <xdr:cNvPr id="5174" name="Imagem 6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3366135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BS%20COM.%20NORTE%20LICITADA/UBS%20COM.%20NORTE%20LICITADA/MEM&#211;RIA%203&#170;BOLETIM%20MEDI&#199;&#195;O-UBS%20-Bayeux%20(1)%20(1)%20(1)%20(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MEM&#211;RIA%207&#170;%20MEDI&#199;&#195;O%20UBS%20COMECIAL%20N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 de Calculo"/>
    </sheetNames>
    <sheetDataSet>
      <sheetData sheetId="0">
        <row r="303">
          <cell r="M303">
            <v>176.4</v>
          </cell>
        </row>
        <row r="322">
          <cell r="M322">
            <v>226.86</v>
          </cell>
        </row>
        <row r="334">
          <cell r="M334">
            <v>364.95</v>
          </cell>
        </row>
        <row r="350">
          <cell r="M350">
            <v>38.97</v>
          </cell>
        </row>
        <row r="363">
          <cell r="M363">
            <v>7.94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 de Calculo"/>
      <sheetName val="PLANILHA"/>
    </sheetNames>
    <sheetDataSet>
      <sheetData sheetId="0">
        <row r="137">
          <cell r="M137">
            <v>66.38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 x14ac:dyDescent="0.2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 x14ac:dyDescent="0.25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 x14ac:dyDescent="0.25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442" t="s">
        <v>4</v>
      </c>
      <c r="Y2" s="442"/>
      <c r="Z2" s="437"/>
      <c r="AA2" s="437" t="s">
        <v>5</v>
      </c>
      <c r="AB2" s="437"/>
    </row>
    <row r="3" spans="1:32" ht="21" hidden="1" customHeight="1" x14ac:dyDescent="0.25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443" t="s">
        <v>7</v>
      </c>
      <c r="Y3" s="443"/>
      <c r="Z3" s="436"/>
      <c r="AA3" s="436">
        <v>42718</v>
      </c>
      <c r="AB3" s="436"/>
    </row>
    <row r="4" spans="1:32" ht="19.5" hidden="1" customHeight="1" x14ac:dyDescent="0.25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444" t="s">
        <v>11</v>
      </c>
      <c r="Y4" s="445"/>
      <c r="Z4" s="446"/>
      <c r="AA4" s="437" t="s">
        <v>12</v>
      </c>
      <c r="AB4" s="437"/>
      <c r="AC4" s="25"/>
    </row>
    <row r="5" spans="1:32" ht="19.5" hidden="1" customHeight="1" x14ac:dyDescent="0.25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429">
        <v>43135</v>
      </c>
      <c r="Y5" s="430"/>
      <c r="Z5" s="431"/>
      <c r="AA5" s="436" t="s">
        <v>15</v>
      </c>
      <c r="AB5" s="436"/>
      <c r="AC5" s="26"/>
      <c r="AD5" s="26"/>
      <c r="AE5" s="26"/>
      <c r="AF5" s="26"/>
    </row>
    <row r="6" spans="1:32" ht="19.5" hidden="1" customHeight="1" x14ac:dyDescent="0.25">
      <c r="A6" s="144" t="s">
        <v>16</v>
      </c>
      <c r="B6" s="144"/>
      <c r="C6" s="144"/>
      <c r="D6" s="144"/>
      <c r="E6" s="144"/>
      <c r="F6" s="158"/>
      <c r="G6" s="144"/>
      <c r="H6" s="438" t="s">
        <v>17</v>
      </c>
      <c r="I6" s="439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441"/>
      <c r="Y6" s="441"/>
      <c r="Z6" s="438"/>
      <c r="AA6" s="437" t="s">
        <v>18</v>
      </c>
      <c r="AB6" s="437"/>
      <c r="AC6" s="26"/>
      <c r="AD6" s="26"/>
      <c r="AE6" s="26"/>
      <c r="AF6" s="26"/>
    </row>
    <row r="7" spans="1:32" ht="29.25" hidden="1" customHeight="1" x14ac:dyDescent="0.25">
      <c r="A7" s="145" t="s">
        <v>19</v>
      </c>
      <c r="B7" s="145"/>
      <c r="C7" s="145"/>
      <c r="D7" s="145"/>
      <c r="E7" s="145"/>
      <c r="F7" s="160"/>
      <c r="G7" s="145"/>
      <c r="H7" s="432" t="s">
        <v>20</v>
      </c>
      <c r="I7" s="433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5"/>
      <c r="X7" s="435"/>
      <c r="Y7" s="435"/>
      <c r="Z7" s="432"/>
      <c r="AA7" s="428">
        <v>550194.43999999994</v>
      </c>
      <c r="AB7" s="428"/>
      <c r="AC7" s="26"/>
      <c r="AD7" s="26"/>
      <c r="AE7" s="26"/>
      <c r="AF7" s="26"/>
    </row>
    <row r="8" spans="1:32" ht="30" hidden="1" customHeight="1" x14ac:dyDescent="0.25">
      <c r="A8" s="457" t="s">
        <v>21</v>
      </c>
      <c r="B8" s="457"/>
      <c r="C8" s="457"/>
      <c r="D8" s="458"/>
      <c r="E8" s="458"/>
      <c r="F8" s="459"/>
      <c r="G8" s="458"/>
      <c r="H8" s="458"/>
      <c r="I8" s="460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2"/>
      <c r="X8" s="462"/>
      <c r="Y8" s="462"/>
      <c r="Z8" s="458"/>
      <c r="AA8" s="428" t="e">
        <f>AA233</f>
        <v>#REF!</v>
      </c>
      <c r="AB8" s="428"/>
      <c r="AC8" s="26"/>
      <c r="AD8" s="26"/>
      <c r="AE8" s="26"/>
      <c r="AF8" s="26"/>
    </row>
    <row r="9" spans="1:32" ht="15.75" hidden="1" x14ac:dyDescent="0.25">
      <c r="A9" s="448" t="s">
        <v>6</v>
      </c>
      <c r="B9" s="449"/>
      <c r="C9" s="449"/>
      <c r="D9" s="450"/>
      <c r="E9" s="450"/>
      <c r="F9" s="449"/>
      <c r="G9" s="450"/>
      <c r="H9" s="450"/>
      <c r="I9" s="449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 x14ac:dyDescent="0.25">
      <c r="A10" s="448"/>
      <c r="B10" s="449"/>
      <c r="C10" s="449"/>
      <c r="D10" s="450"/>
      <c r="E10" s="450"/>
      <c r="F10" s="449"/>
      <c r="G10" s="450"/>
      <c r="H10" s="450"/>
      <c r="I10" s="449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 x14ac:dyDescent="0.25">
      <c r="A11" s="448"/>
      <c r="B11" s="449"/>
      <c r="C11" s="449"/>
      <c r="D11" s="450"/>
      <c r="E11" s="450"/>
      <c r="F11" s="449"/>
      <c r="G11" s="450"/>
      <c r="H11" s="450"/>
      <c r="I11" s="449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 x14ac:dyDescent="0.25">
      <c r="A12" s="451" t="s">
        <v>22</v>
      </c>
      <c r="B12" s="227"/>
      <c r="C12" s="227"/>
      <c r="D12" s="450"/>
      <c r="E12" s="450"/>
      <c r="F12" s="227"/>
      <c r="G12" s="450"/>
      <c r="H12" s="450"/>
      <c r="I12" s="227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 x14ac:dyDescent="0.25">
      <c r="A13" s="451" t="s">
        <v>23</v>
      </c>
      <c r="B13" s="227"/>
      <c r="C13" s="227"/>
      <c r="D13" s="450"/>
      <c r="E13" s="450"/>
      <c r="F13" s="227"/>
      <c r="G13" s="450"/>
      <c r="H13" s="450"/>
      <c r="I13" s="227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 x14ac:dyDescent="0.25">
      <c r="A14" s="451" t="s">
        <v>24</v>
      </c>
      <c r="B14" s="227"/>
      <c r="C14" s="227"/>
      <c r="D14" s="450"/>
      <c r="E14" s="450"/>
      <c r="F14" s="227"/>
      <c r="G14" s="450"/>
      <c r="H14" s="450"/>
      <c r="I14" s="227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 x14ac:dyDescent="0.25">
      <c r="A15" s="227"/>
      <c r="B15" s="227"/>
      <c r="C15" s="227"/>
      <c r="D15" s="226"/>
      <c r="E15" s="226"/>
      <c r="F15" s="227"/>
      <c r="G15" s="226"/>
      <c r="H15" s="226"/>
      <c r="I15" s="227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 x14ac:dyDescent="0.25">
      <c r="A16" s="227"/>
      <c r="B16" s="227"/>
      <c r="C16" s="227"/>
      <c r="D16" s="226"/>
      <c r="E16" s="226"/>
      <c r="F16" s="227"/>
      <c r="G16" s="226"/>
      <c r="H16" s="226"/>
      <c r="I16" s="227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 x14ac:dyDescent="0.25">
      <c r="A17" s="227"/>
      <c r="B17" s="227"/>
      <c r="C17" s="227"/>
      <c r="D17" s="226"/>
      <c r="E17" s="226"/>
      <c r="F17" s="227"/>
      <c r="G17" s="226"/>
      <c r="H17" s="226"/>
      <c r="I17" s="227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 x14ac:dyDescent="0.25">
      <c r="A18" s="227"/>
      <c r="B18" s="227"/>
      <c r="C18" s="227"/>
      <c r="D18" s="226"/>
      <c r="E18" s="226"/>
      <c r="F18" s="227"/>
      <c r="G18" s="226"/>
      <c r="H18" s="226"/>
      <c r="I18" s="227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 x14ac:dyDescent="0.25">
      <c r="A19" s="227"/>
      <c r="B19" s="227"/>
      <c r="C19" s="227"/>
      <c r="D19" s="226"/>
      <c r="E19" s="226"/>
      <c r="F19" s="227"/>
      <c r="G19" s="226"/>
      <c r="H19" s="226"/>
      <c r="I19" s="227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 x14ac:dyDescent="0.25">
      <c r="A20" s="227"/>
      <c r="B20" s="227"/>
      <c r="C20" s="227"/>
      <c r="D20" s="226"/>
      <c r="E20" s="226"/>
      <c r="F20" s="227"/>
      <c r="G20" s="226"/>
      <c r="H20" s="226"/>
      <c r="I20" s="227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 x14ac:dyDescent="0.25">
      <c r="A21" s="227"/>
      <c r="B21" s="227"/>
      <c r="C21" s="227"/>
      <c r="D21" s="226"/>
      <c r="E21" s="226"/>
      <c r="F21" s="227"/>
      <c r="G21" s="226"/>
      <c r="H21" s="226"/>
      <c r="I21" s="227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 x14ac:dyDescent="0.25">
      <c r="A22" s="452" t="s">
        <v>25</v>
      </c>
      <c r="B22" s="453"/>
      <c r="C22" s="454"/>
      <c r="D22" s="455"/>
      <c r="E22" s="455"/>
      <c r="F22" s="456"/>
      <c r="G22" s="455"/>
      <c r="H22" s="455"/>
      <c r="I22" s="454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 x14ac:dyDescent="0.25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 x14ac:dyDescent="0.2">
      <c r="A24" s="463" t="s">
        <v>27</v>
      </c>
      <c r="B24" s="463" t="s">
        <v>28</v>
      </c>
      <c r="C24" s="463" t="s">
        <v>29</v>
      </c>
      <c r="D24" s="464"/>
      <c r="E24" s="464"/>
      <c r="F24" s="465"/>
      <c r="G24" s="464"/>
      <c r="H24" s="464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466" t="s">
        <v>30</v>
      </c>
      <c r="X24" s="467"/>
      <c r="Y24" s="468"/>
      <c r="Z24" s="464" t="s">
        <v>31</v>
      </c>
      <c r="AA24" s="464"/>
      <c r="AB24" s="464"/>
    </row>
    <row r="25" spans="1:32" ht="36.75" customHeight="1" x14ac:dyDescent="0.25">
      <c r="A25" s="464"/>
      <c r="B25" s="464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 x14ac:dyDescent="0.25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 x14ac:dyDescent="0.25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 x14ac:dyDescent="0.2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 x14ac:dyDescent="0.2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 x14ac:dyDescent="0.2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 x14ac:dyDescent="0.2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 x14ac:dyDescent="0.2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 x14ac:dyDescent="0.2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 x14ac:dyDescent="0.2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 x14ac:dyDescent="0.25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 x14ac:dyDescent="0.2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 x14ac:dyDescent="0.2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 x14ac:dyDescent="0.2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 x14ac:dyDescent="0.2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 x14ac:dyDescent="0.2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 x14ac:dyDescent="0.2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 x14ac:dyDescent="0.2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 x14ac:dyDescent="0.2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 x14ac:dyDescent="0.2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 x14ac:dyDescent="0.2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 x14ac:dyDescent="0.2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 x14ac:dyDescent="0.2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 x14ac:dyDescent="0.2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 x14ac:dyDescent="0.2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 x14ac:dyDescent="0.2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 x14ac:dyDescent="0.2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 x14ac:dyDescent="0.2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 x14ac:dyDescent="0.25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 x14ac:dyDescent="0.2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 x14ac:dyDescent="0.2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 x14ac:dyDescent="0.2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 x14ac:dyDescent="0.2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 x14ac:dyDescent="0.2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 x14ac:dyDescent="0.2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 x14ac:dyDescent="0.2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 x14ac:dyDescent="0.2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 x14ac:dyDescent="0.2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 x14ac:dyDescent="0.2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 x14ac:dyDescent="0.2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 x14ac:dyDescent="0.25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 x14ac:dyDescent="0.2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 x14ac:dyDescent="0.2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 x14ac:dyDescent="0.2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 x14ac:dyDescent="0.2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 x14ac:dyDescent="0.2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 x14ac:dyDescent="0.2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 x14ac:dyDescent="0.2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 x14ac:dyDescent="0.2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 x14ac:dyDescent="0.2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 x14ac:dyDescent="0.2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 x14ac:dyDescent="0.2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 x14ac:dyDescent="0.2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 x14ac:dyDescent="0.2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 x14ac:dyDescent="0.2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 x14ac:dyDescent="0.2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 x14ac:dyDescent="0.2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 x14ac:dyDescent="0.2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 x14ac:dyDescent="0.2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 x14ac:dyDescent="0.2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 x14ac:dyDescent="0.2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 x14ac:dyDescent="0.2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 x14ac:dyDescent="0.2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 x14ac:dyDescent="0.2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 x14ac:dyDescent="0.2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 x14ac:dyDescent="0.2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 x14ac:dyDescent="0.2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 x14ac:dyDescent="0.2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 x14ac:dyDescent="0.2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 x14ac:dyDescent="0.2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 x14ac:dyDescent="0.2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 x14ac:dyDescent="0.2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 x14ac:dyDescent="0.2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 x14ac:dyDescent="0.2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 x14ac:dyDescent="0.2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 x14ac:dyDescent="0.2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 x14ac:dyDescent="0.2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 x14ac:dyDescent="0.2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 x14ac:dyDescent="0.2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 x14ac:dyDescent="0.2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 x14ac:dyDescent="0.2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 x14ac:dyDescent="0.25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 x14ac:dyDescent="0.2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 x14ac:dyDescent="0.2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 x14ac:dyDescent="0.2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 x14ac:dyDescent="0.2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 x14ac:dyDescent="0.2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 x14ac:dyDescent="0.2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 x14ac:dyDescent="0.2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 x14ac:dyDescent="0.2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 x14ac:dyDescent="0.2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 x14ac:dyDescent="0.2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 x14ac:dyDescent="0.2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 x14ac:dyDescent="0.2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 x14ac:dyDescent="0.2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 x14ac:dyDescent="0.2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 x14ac:dyDescent="0.2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 x14ac:dyDescent="0.2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 x14ac:dyDescent="0.2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 x14ac:dyDescent="0.2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 x14ac:dyDescent="0.2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 x14ac:dyDescent="0.2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 x14ac:dyDescent="0.2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 x14ac:dyDescent="0.2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 x14ac:dyDescent="0.2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 x14ac:dyDescent="0.2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 x14ac:dyDescent="0.2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 x14ac:dyDescent="0.2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 x14ac:dyDescent="0.2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 x14ac:dyDescent="0.2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 x14ac:dyDescent="0.2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 x14ac:dyDescent="0.2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 x14ac:dyDescent="0.2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 x14ac:dyDescent="0.2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 x14ac:dyDescent="0.2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 x14ac:dyDescent="0.2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 x14ac:dyDescent="0.2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 x14ac:dyDescent="0.2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 x14ac:dyDescent="0.2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 x14ac:dyDescent="0.2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 x14ac:dyDescent="0.2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 x14ac:dyDescent="0.2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 x14ac:dyDescent="0.2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 x14ac:dyDescent="0.2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 x14ac:dyDescent="0.25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 x14ac:dyDescent="0.2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 x14ac:dyDescent="0.2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 x14ac:dyDescent="0.2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 x14ac:dyDescent="0.2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 x14ac:dyDescent="0.2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 x14ac:dyDescent="0.2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 x14ac:dyDescent="0.2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 x14ac:dyDescent="0.2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 x14ac:dyDescent="0.2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 x14ac:dyDescent="0.2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 x14ac:dyDescent="0.2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 x14ac:dyDescent="0.2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 x14ac:dyDescent="0.2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 x14ac:dyDescent="0.2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 x14ac:dyDescent="0.2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 x14ac:dyDescent="0.2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 x14ac:dyDescent="0.2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 x14ac:dyDescent="0.2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 x14ac:dyDescent="0.2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 x14ac:dyDescent="0.2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 x14ac:dyDescent="0.2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 x14ac:dyDescent="0.2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 x14ac:dyDescent="0.2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 x14ac:dyDescent="0.2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 x14ac:dyDescent="0.2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 x14ac:dyDescent="0.2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 x14ac:dyDescent="0.2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 x14ac:dyDescent="0.2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 x14ac:dyDescent="0.2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 x14ac:dyDescent="0.2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 x14ac:dyDescent="0.2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 x14ac:dyDescent="0.2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 x14ac:dyDescent="0.2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 x14ac:dyDescent="0.2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 x14ac:dyDescent="0.2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 x14ac:dyDescent="0.2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 x14ac:dyDescent="0.2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 x14ac:dyDescent="0.2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 x14ac:dyDescent="0.2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 x14ac:dyDescent="0.2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 x14ac:dyDescent="0.2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 x14ac:dyDescent="0.2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 x14ac:dyDescent="0.2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 x14ac:dyDescent="0.2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 x14ac:dyDescent="0.2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 x14ac:dyDescent="0.2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 x14ac:dyDescent="0.2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 x14ac:dyDescent="0.2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 x14ac:dyDescent="0.2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 x14ac:dyDescent="0.2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 x14ac:dyDescent="0.2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 x14ac:dyDescent="0.2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 x14ac:dyDescent="0.2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 x14ac:dyDescent="0.2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 x14ac:dyDescent="0.2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 x14ac:dyDescent="0.2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 x14ac:dyDescent="0.2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 x14ac:dyDescent="0.2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 x14ac:dyDescent="0.2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 x14ac:dyDescent="0.2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 x14ac:dyDescent="0.2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 x14ac:dyDescent="0.2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 x14ac:dyDescent="0.2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 x14ac:dyDescent="0.2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 x14ac:dyDescent="0.2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 x14ac:dyDescent="0.2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 x14ac:dyDescent="0.2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 x14ac:dyDescent="0.2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 x14ac:dyDescent="0.2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 x14ac:dyDescent="0.25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 x14ac:dyDescent="0.2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 x14ac:dyDescent="0.2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 x14ac:dyDescent="0.2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 x14ac:dyDescent="0.2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 x14ac:dyDescent="0.2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 x14ac:dyDescent="0.2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 x14ac:dyDescent="0.2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 x14ac:dyDescent="0.2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 x14ac:dyDescent="0.2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 x14ac:dyDescent="0.2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 x14ac:dyDescent="0.2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 x14ac:dyDescent="0.2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 x14ac:dyDescent="0.2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 x14ac:dyDescent="0.25">
      <c r="A233" s="447" t="s">
        <v>502</v>
      </c>
      <c r="B233" s="447"/>
      <c r="C233" s="447"/>
      <c r="D233" s="447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 x14ac:dyDescent="0.2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 x14ac:dyDescent="0.2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 x14ac:dyDescent="0.2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 x14ac:dyDescent="0.2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 x14ac:dyDescent="0.2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 x14ac:dyDescent="0.2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 x14ac:dyDescent="0.2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 x14ac:dyDescent="0.2">
      <c r="T241" s="65">
        <f t="shared" si="98"/>
        <v>0</v>
      </c>
      <c r="Z241" s="91"/>
      <c r="AA241" s="96">
        <f t="shared" si="97"/>
        <v>0</v>
      </c>
      <c r="AB241" s="84"/>
    </row>
    <row r="242" spans="16:28" x14ac:dyDescent="0.2">
      <c r="T242" s="65">
        <f t="shared" si="98"/>
        <v>0</v>
      </c>
      <c r="Z242" s="91"/>
      <c r="AA242" s="96">
        <f t="shared" si="97"/>
        <v>0</v>
      </c>
      <c r="AB242" s="84"/>
    </row>
    <row r="243" spans="16:28" x14ac:dyDescent="0.2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 x14ac:dyDescent="0.2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 x14ac:dyDescent="0.2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 x14ac:dyDescent="0.2">
      <c r="T246" s="65">
        <f t="shared" si="98"/>
        <v>0</v>
      </c>
      <c r="Z246" s="91"/>
      <c r="AA246" s="96">
        <f t="shared" si="97"/>
        <v>0</v>
      </c>
      <c r="AB246" s="84"/>
    </row>
    <row r="247" spans="16:28" x14ac:dyDescent="0.2">
      <c r="T247" s="65">
        <f t="shared" si="98"/>
        <v>0</v>
      </c>
      <c r="Z247" s="91"/>
      <c r="AA247" s="96">
        <f t="shared" si="97"/>
        <v>0</v>
      </c>
      <c r="AB247" s="84"/>
    </row>
    <row r="248" spans="16:28" x14ac:dyDescent="0.2">
      <c r="T248" s="65">
        <f t="shared" si="98"/>
        <v>0</v>
      </c>
      <c r="Z248" s="91"/>
      <c r="AA248" s="96">
        <f t="shared" si="97"/>
        <v>0</v>
      </c>
      <c r="AB248" s="84"/>
    </row>
    <row r="249" spans="16:28" x14ac:dyDescent="0.2">
      <c r="T249" s="65">
        <f t="shared" si="98"/>
        <v>0</v>
      </c>
      <c r="Z249" s="91"/>
      <c r="AA249" s="96">
        <f t="shared" si="97"/>
        <v>0</v>
      </c>
      <c r="AB249" s="84"/>
    </row>
    <row r="250" spans="16:28" x14ac:dyDescent="0.2">
      <c r="T250" s="65">
        <f t="shared" si="98"/>
        <v>0</v>
      </c>
      <c r="Z250" s="91"/>
      <c r="AA250" s="96">
        <f t="shared" si="97"/>
        <v>0</v>
      </c>
      <c r="AB250" s="84"/>
    </row>
    <row r="251" spans="16:28" x14ac:dyDescent="0.2">
      <c r="T251" s="65">
        <f t="shared" si="98"/>
        <v>0</v>
      </c>
      <c r="Z251" s="91"/>
      <c r="AA251" s="96">
        <f t="shared" si="97"/>
        <v>0</v>
      </c>
      <c r="AB251" s="84"/>
    </row>
    <row r="252" spans="16:28" x14ac:dyDescent="0.2">
      <c r="T252" s="65">
        <f t="shared" si="98"/>
        <v>0</v>
      </c>
      <c r="Z252" s="91"/>
      <c r="AA252" s="96">
        <f t="shared" si="97"/>
        <v>0</v>
      </c>
      <c r="AB252" s="84"/>
    </row>
    <row r="253" spans="16:28" x14ac:dyDescent="0.2">
      <c r="T253" s="65">
        <f t="shared" si="98"/>
        <v>0</v>
      </c>
      <c r="Z253" s="91"/>
      <c r="AA253" s="96">
        <f t="shared" si="97"/>
        <v>0</v>
      </c>
      <c r="AB253" s="84"/>
    </row>
    <row r="254" spans="16:28" x14ac:dyDescent="0.2">
      <c r="T254" s="65">
        <f t="shared" si="98"/>
        <v>0</v>
      </c>
      <c r="Z254" s="91"/>
      <c r="AA254" s="96">
        <f t="shared" si="97"/>
        <v>0</v>
      </c>
      <c r="AB254" s="84"/>
    </row>
    <row r="255" spans="16:28" x14ac:dyDescent="0.2">
      <c r="T255" s="65">
        <f t="shared" si="98"/>
        <v>0</v>
      </c>
      <c r="Z255" s="91"/>
      <c r="AA255" s="96">
        <f t="shared" si="97"/>
        <v>0</v>
      </c>
      <c r="AB255" s="84"/>
    </row>
    <row r="256" spans="16:28" x14ac:dyDescent="0.2">
      <c r="T256" s="65">
        <f t="shared" si="98"/>
        <v>0</v>
      </c>
      <c r="Z256" s="91"/>
      <c r="AA256" s="96">
        <f t="shared" si="97"/>
        <v>0</v>
      </c>
      <c r="AB256" s="84"/>
    </row>
    <row r="257" spans="20:28" x14ac:dyDescent="0.2">
      <c r="T257" s="65">
        <f t="shared" si="98"/>
        <v>0</v>
      </c>
      <c r="Z257" s="91"/>
      <c r="AA257" s="96">
        <f t="shared" si="97"/>
        <v>0</v>
      </c>
      <c r="AB257" s="84"/>
    </row>
    <row r="258" spans="20:28" x14ac:dyDescent="0.2">
      <c r="T258" s="65">
        <f t="shared" si="98"/>
        <v>0</v>
      </c>
      <c r="Z258" s="91"/>
      <c r="AA258" s="96">
        <f t="shared" si="97"/>
        <v>0</v>
      </c>
      <c r="AB258" s="84"/>
    </row>
    <row r="259" spans="20:28" x14ac:dyDescent="0.2">
      <c r="T259" s="65">
        <f t="shared" si="98"/>
        <v>0</v>
      </c>
      <c r="Z259" s="91"/>
      <c r="AA259" s="96">
        <f t="shared" si="97"/>
        <v>0</v>
      </c>
      <c r="AB259" s="84"/>
    </row>
    <row r="260" spans="20:28" x14ac:dyDescent="0.2">
      <c r="T260" s="65">
        <f t="shared" si="98"/>
        <v>0</v>
      </c>
      <c r="Z260" s="91"/>
      <c r="AA260" s="96">
        <f t="shared" si="97"/>
        <v>0</v>
      </c>
      <c r="AB260" s="84"/>
    </row>
    <row r="261" spans="20:28" x14ac:dyDescent="0.2">
      <c r="T261" s="65">
        <f t="shared" si="98"/>
        <v>0</v>
      </c>
      <c r="Z261" s="91"/>
      <c r="AA261" s="96">
        <f t="shared" si="97"/>
        <v>0</v>
      </c>
      <c r="AB261" s="84"/>
    </row>
    <row r="262" spans="20:28" x14ac:dyDescent="0.2">
      <c r="T262" s="65">
        <f t="shared" si="98"/>
        <v>0</v>
      </c>
      <c r="Z262" s="91"/>
      <c r="AA262" s="96">
        <f t="shared" si="97"/>
        <v>0</v>
      </c>
      <c r="AB262" s="84"/>
    </row>
    <row r="263" spans="20:28" x14ac:dyDescent="0.2">
      <c r="T263" s="65">
        <f t="shared" si="98"/>
        <v>0</v>
      </c>
      <c r="Z263" s="91"/>
      <c r="AA263" s="96">
        <f t="shared" si="97"/>
        <v>0</v>
      </c>
      <c r="AB263" s="84"/>
    </row>
    <row r="264" spans="20:28" x14ac:dyDescent="0.2">
      <c r="T264" s="65">
        <f t="shared" si="98"/>
        <v>0</v>
      </c>
      <c r="Z264" s="91"/>
      <c r="AA264" s="96">
        <f t="shared" si="97"/>
        <v>0</v>
      </c>
      <c r="AB264" s="84"/>
    </row>
    <row r="265" spans="20:28" x14ac:dyDescent="0.2">
      <c r="T265" s="65">
        <f t="shared" si="98"/>
        <v>0</v>
      </c>
      <c r="Z265" s="91"/>
      <c r="AA265" s="96">
        <f t="shared" si="97"/>
        <v>0</v>
      </c>
      <c r="AB265" s="84"/>
    </row>
    <row r="266" spans="20:28" x14ac:dyDescent="0.2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 x14ac:dyDescent="0.2">
      <c r="T267" s="65">
        <f t="shared" si="98"/>
        <v>0</v>
      </c>
      <c r="Z267" s="91"/>
      <c r="AA267" s="96">
        <f t="shared" si="99"/>
        <v>0</v>
      </c>
      <c r="AB267" s="84"/>
    </row>
    <row r="268" spans="20:28" x14ac:dyDescent="0.2">
      <c r="T268" s="65">
        <f t="shared" si="98"/>
        <v>0</v>
      </c>
      <c r="Z268" s="91"/>
      <c r="AA268" s="96">
        <f t="shared" si="99"/>
        <v>0</v>
      </c>
      <c r="AB268" s="84"/>
    </row>
    <row r="269" spans="20:28" x14ac:dyDescent="0.2">
      <c r="T269" s="65">
        <f t="shared" si="98"/>
        <v>0</v>
      </c>
      <c r="Z269" s="91"/>
      <c r="AA269" s="96">
        <f t="shared" si="99"/>
        <v>0</v>
      </c>
      <c r="AB269" s="84"/>
    </row>
    <row r="270" spans="20:28" x14ac:dyDescent="0.2">
      <c r="T270" s="65">
        <f t="shared" si="98"/>
        <v>0</v>
      </c>
      <c r="Z270" s="91"/>
      <c r="AA270" s="96">
        <f t="shared" si="99"/>
        <v>0</v>
      </c>
      <c r="AB270" s="84"/>
    </row>
    <row r="271" spans="20:28" x14ac:dyDescent="0.2">
      <c r="T271" s="65">
        <f t="shared" si="98"/>
        <v>0</v>
      </c>
      <c r="Z271" s="91"/>
      <c r="AA271" s="96">
        <f t="shared" si="99"/>
        <v>0</v>
      </c>
      <c r="AB271" s="84"/>
    </row>
    <row r="272" spans="20:28" x14ac:dyDescent="0.2">
      <c r="T272" s="65">
        <f t="shared" si="98"/>
        <v>0</v>
      </c>
      <c r="Z272" s="91"/>
      <c r="AA272" s="96">
        <f t="shared" si="99"/>
        <v>0</v>
      </c>
      <c r="AB272" s="84"/>
    </row>
    <row r="273" spans="20:28" x14ac:dyDescent="0.2">
      <c r="T273" s="65">
        <f t="shared" si="98"/>
        <v>0</v>
      </c>
      <c r="Z273" s="91"/>
      <c r="AA273" s="96">
        <f t="shared" si="99"/>
        <v>0</v>
      </c>
      <c r="AB273" s="84"/>
    </row>
    <row r="274" spans="20:28" x14ac:dyDescent="0.2">
      <c r="T274" s="65">
        <f t="shared" si="98"/>
        <v>0</v>
      </c>
      <c r="Z274" s="91"/>
      <c r="AA274" s="96">
        <f t="shared" si="99"/>
        <v>0</v>
      </c>
      <c r="AB274" s="84"/>
    </row>
    <row r="275" spans="20:28" x14ac:dyDescent="0.2">
      <c r="T275" s="65">
        <f t="shared" si="98"/>
        <v>0</v>
      </c>
      <c r="Z275" s="91"/>
      <c r="AA275" s="96">
        <f t="shared" si="99"/>
        <v>0</v>
      </c>
      <c r="AB275" s="84"/>
    </row>
    <row r="276" spans="20:28" x14ac:dyDescent="0.2">
      <c r="T276" s="65">
        <f t="shared" si="98"/>
        <v>0</v>
      </c>
      <c r="Z276" s="91"/>
      <c r="AA276" s="96">
        <f t="shared" si="99"/>
        <v>0</v>
      </c>
      <c r="AB276" s="84"/>
    </row>
    <row r="277" spans="20:28" x14ac:dyDescent="0.2">
      <c r="T277" s="65">
        <f t="shared" si="98"/>
        <v>0</v>
      </c>
      <c r="Z277" s="91"/>
      <c r="AA277" s="96">
        <f t="shared" si="99"/>
        <v>0</v>
      </c>
      <c r="AB277" s="84"/>
    </row>
    <row r="278" spans="20:28" x14ac:dyDescent="0.2">
      <c r="T278" s="65">
        <f t="shared" si="98"/>
        <v>0</v>
      </c>
      <c r="Z278" s="91"/>
      <c r="AA278" s="96">
        <f t="shared" si="99"/>
        <v>0</v>
      </c>
      <c r="AB278" s="84"/>
    </row>
    <row r="279" spans="20:28" x14ac:dyDescent="0.2">
      <c r="T279" s="65">
        <f t="shared" si="98"/>
        <v>0</v>
      </c>
      <c r="Z279" s="91"/>
      <c r="AA279" s="96">
        <f t="shared" si="99"/>
        <v>0</v>
      </c>
      <c r="AB279" s="84"/>
    </row>
    <row r="280" spans="20:28" x14ac:dyDescent="0.2">
      <c r="T280" s="65">
        <f t="shared" si="98"/>
        <v>0</v>
      </c>
      <c r="Z280" s="91"/>
      <c r="AA280" s="96">
        <f t="shared" si="99"/>
        <v>0</v>
      </c>
      <c r="AB280" s="84"/>
    </row>
    <row r="281" spans="20:28" x14ac:dyDescent="0.2">
      <c r="T281" s="65">
        <f t="shared" si="98"/>
        <v>0</v>
      </c>
      <c r="Z281" s="91"/>
      <c r="AA281" s="96">
        <f t="shared" si="99"/>
        <v>0</v>
      </c>
      <c r="AB281" s="84"/>
    </row>
    <row r="282" spans="20:28" x14ac:dyDescent="0.2">
      <c r="T282" s="65">
        <f t="shared" si="98"/>
        <v>0</v>
      </c>
      <c r="Z282" s="91"/>
      <c r="AA282" s="96">
        <f t="shared" si="99"/>
        <v>0</v>
      </c>
      <c r="AB282" s="84"/>
    </row>
    <row r="283" spans="20:28" x14ac:dyDescent="0.2">
      <c r="T283" s="65">
        <f t="shared" si="98"/>
        <v>0</v>
      </c>
      <c r="Z283" s="91"/>
      <c r="AA283" s="96">
        <f t="shared" si="99"/>
        <v>0</v>
      </c>
      <c r="AB283" s="84"/>
    </row>
    <row r="284" spans="20:28" x14ac:dyDescent="0.2">
      <c r="T284" s="65">
        <f t="shared" si="98"/>
        <v>0</v>
      </c>
      <c r="Z284" s="91"/>
      <c r="AA284" s="96">
        <f t="shared" si="99"/>
        <v>0</v>
      </c>
      <c r="AB284" s="84"/>
    </row>
    <row r="285" spans="20:28" x14ac:dyDescent="0.2">
      <c r="T285" s="65">
        <f t="shared" si="98"/>
        <v>0</v>
      </c>
      <c r="Z285" s="91"/>
      <c r="AA285" s="96">
        <f t="shared" si="99"/>
        <v>0</v>
      </c>
      <c r="AB285" s="84"/>
    </row>
    <row r="286" spans="20:28" x14ac:dyDescent="0.2">
      <c r="T286" s="65">
        <f t="shared" si="98"/>
        <v>0</v>
      </c>
      <c r="Z286" s="91"/>
      <c r="AA286" s="96">
        <f t="shared" si="99"/>
        <v>0</v>
      </c>
      <c r="AB286" s="84"/>
    </row>
    <row r="287" spans="20:28" x14ac:dyDescent="0.2">
      <c r="T287" s="65">
        <f t="shared" si="98"/>
        <v>0</v>
      </c>
      <c r="Z287" s="91"/>
      <c r="AA287" s="96">
        <f t="shared" si="99"/>
        <v>0</v>
      </c>
      <c r="AB287" s="84"/>
    </row>
    <row r="288" spans="20:28" x14ac:dyDescent="0.2">
      <c r="T288" s="65">
        <f t="shared" si="98"/>
        <v>0</v>
      </c>
      <c r="Z288" s="91"/>
      <c r="AA288" s="96">
        <f t="shared" si="99"/>
        <v>0</v>
      </c>
      <c r="AB288" s="84"/>
    </row>
    <row r="289" spans="20:28" x14ac:dyDescent="0.2">
      <c r="T289" s="65">
        <f t="shared" si="98"/>
        <v>0</v>
      </c>
      <c r="Z289" s="91"/>
      <c r="AA289" s="96">
        <f t="shared" si="99"/>
        <v>0</v>
      </c>
      <c r="AB289" s="84"/>
    </row>
    <row r="290" spans="20:28" x14ac:dyDescent="0.2">
      <c r="T290" s="65">
        <f t="shared" si="98"/>
        <v>0</v>
      </c>
      <c r="Z290" s="91"/>
      <c r="AA290" s="96">
        <f t="shared" si="99"/>
        <v>0</v>
      </c>
      <c r="AB290" s="84"/>
    </row>
    <row r="291" spans="20:28" x14ac:dyDescent="0.2">
      <c r="T291" s="65">
        <f t="shared" si="98"/>
        <v>0</v>
      </c>
      <c r="Z291" s="91"/>
      <c r="AA291" s="96">
        <f t="shared" si="99"/>
        <v>0</v>
      </c>
      <c r="AB291" s="84"/>
    </row>
    <row r="292" spans="20:28" x14ac:dyDescent="0.2">
      <c r="T292" s="65">
        <f t="shared" si="98"/>
        <v>0</v>
      </c>
      <c r="Z292" s="91"/>
      <c r="AA292" s="96">
        <f t="shared" si="99"/>
        <v>0</v>
      </c>
      <c r="AB292" s="84"/>
    </row>
    <row r="293" spans="20:28" x14ac:dyDescent="0.2">
      <c r="T293" s="65">
        <f t="shared" si="98"/>
        <v>0</v>
      </c>
      <c r="Z293" s="91"/>
      <c r="AA293" s="96">
        <f t="shared" si="99"/>
        <v>0</v>
      </c>
      <c r="AB293" s="84"/>
    </row>
    <row r="294" spans="20:28" x14ac:dyDescent="0.2">
      <c r="T294" s="65">
        <f t="shared" si="98"/>
        <v>0</v>
      </c>
      <c r="Z294" s="91"/>
      <c r="AA294" s="96">
        <f t="shared" si="99"/>
        <v>0</v>
      </c>
      <c r="AB294" s="84"/>
    </row>
    <row r="295" spans="20:28" x14ac:dyDescent="0.2">
      <c r="T295" s="65">
        <f t="shared" si="98"/>
        <v>0</v>
      </c>
      <c r="Z295" s="91"/>
      <c r="AA295" s="96">
        <f t="shared" si="99"/>
        <v>0</v>
      </c>
      <c r="AB295" s="84"/>
    </row>
    <row r="296" spans="20:28" x14ac:dyDescent="0.2">
      <c r="T296" s="65">
        <f t="shared" si="98"/>
        <v>0</v>
      </c>
      <c r="Z296" s="91"/>
      <c r="AA296" s="96">
        <f t="shared" si="99"/>
        <v>0</v>
      </c>
      <c r="AB296" s="84"/>
    </row>
    <row r="297" spans="20:28" x14ac:dyDescent="0.2">
      <c r="T297" s="65">
        <f t="shared" si="98"/>
        <v>0</v>
      </c>
      <c r="Z297" s="91"/>
      <c r="AA297" s="96">
        <f t="shared" si="99"/>
        <v>0</v>
      </c>
      <c r="AB297" s="84"/>
    </row>
    <row r="298" spans="20:28" x14ac:dyDescent="0.2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 x14ac:dyDescent="0.2">
      <c r="T299" s="65">
        <f t="shared" si="98"/>
        <v>0</v>
      </c>
      <c r="Z299" s="91"/>
      <c r="AA299" s="96">
        <f t="shared" si="100"/>
        <v>0</v>
      </c>
      <c r="AB299" s="84"/>
    </row>
    <row r="300" spans="20:28" x14ac:dyDescent="0.2">
      <c r="T300" s="65">
        <f t="shared" si="98"/>
        <v>0</v>
      </c>
      <c r="Z300" s="91"/>
      <c r="AA300" s="96">
        <f t="shared" si="100"/>
        <v>0</v>
      </c>
      <c r="AB300" s="84"/>
    </row>
    <row r="301" spans="20:28" x14ac:dyDescent="0.2">
      <c r="T301" s="65">
        <f t="shared" si="98"/>
        <v>0</v>
      </c>
      <c r="Z301" s="91"/>
      <c r="AA301" s="96">
        <f t="shared" si="100"/>
        <v>0</v>
      </c>
      <c r="AB301" s="84"/>
    </row>
    <row r="302" spans="20:28" x14ac:dyDescent="0.2">
      <c r="T302" s="65">
        <f t="shared" si="98"/>
        <v>0</v>
      </c>
      <c r="Z302" s="91"/>
      <c r="AA302" s="96">
        <f t="shared" si="100"/>
        <v>0</v>
      </c>
      <c r="AB302" s="84"/>
    </row>
    <row r="303" spans="20:28" x14ac:dyDescent="0.2">
      <c r="T303" s="65">
        <f t="shared" si="98"/>
        <v>0</v>
      </c>
      <c r="Z303" s="91"/>
      <c r="AA303" s="96">
        <f t="shared" si="100"/>
        <v>0</v>
      </c>
      <c r="AB303" s="84"/>
    </row>
    <row r="304" spans="20:28" x14ac:dyDescent="0.2">
      <c r="T304" s="65">
        <f>SUM(J304:R304)</f>
        <v>0</v>
      </c>
      <c r="Z304" s="91"/>
      <c r="AA304" s="96">
        <f t="shared" si="100"/>
        <v>0</v>
      </c>
      <c r="AB304" s="84"/>
    </row>
    <row r="305" spans="20:28" x14ac:dyDescent="0.2">
      <c r="T305" s="65">
        <f>SUM(J305:R305)</f>
        <v>0</v>
      </c>
      <c r="Z305" s="91"/>
      <c r="AA305" s="96">
        <f t="shared" si="100"/>
        <v>0</v>
      </c>
      <c r="AB305" s="84"/>
    </row>
    <row r="306" spans="20:28" x14ac:dyDescent="0.2">
      <c r="Z306" s="91"/>
      <c r="AA306" s="96">
        <f t="shared" si="100"/>
        <v>0</v>
      </c>
      <c r="AB306" s="84"/>
    </row>
    <row r="307" spans="20:28" x14ac:dyDescent="0.2">
      <c r="Z307" s="91"/>
      <c r="AA307" s="96">
        <f t="shared" si="100"/>
        <v>0</v>
      </c>
      <c r="AB307" s="84"/>
    </row>
    <row r="308" spans="20:28" x14ac:dyDescent="0.2">
      <c r="Z308" s="91"/>
      <c r="AA308" s="96">
        <f t="shared" si="100"/>
        <v>0</v>
      </c>
      <c r="AB308" s="84"/>
    </row>
    <row r="309" spans="20:28" x14ac:dyDescent="0.2">
      <c r="Z309" s="91"/>
      <c r="AA309" s="96">
        <f t="shared" si="100"/>
        <v>0</v>
      </c>
      <c r="AB309" s="84"/>
    </row>
    <row r="310" spans="20:28" x14ac:dyDescent="0.2">
      <c r="Z310" s="91"/>
      <c r="AA310" s="96">
        <f t="shared" si="100"/>
        <v>0</v>
      </c>
      <c r="AB310" s="84"/>
    </row>
    <row r="311" spans="20:28" x14ac:dyDescent="0.2">
      <c r="Z311" s="91"/>
      <c r="AA311" s="96">
        <f t="shared" si="100"/>
        <v>0</v>
      </c>
      <c r="AB311" s="84"/>
    </row>
    <row r="312" spans="20:28" x14ac:dyDescent="0.2">
      <c r="Z312" s="91"/>
      <c r="AA312" s="96">
        <f t="shared" si="100"/>
        <v>0</v>
      </c>
      <c r="AB312" s="84"/>
    </row>
    <row r="313" spans="20:28" x14ac:dyDescent="0.2">
      <c r="Z313" s="91"/>
      <c r="AA313" s="96">
        <f t="shared" si="100"/>
        <v>0</v>
      </c>
      <c r="AB313" s="84"/>
    </row>
    <row r="314" spans="20:28" x14ac:dyDescent="0.2">
      <c r="Z314" s="91"/>
      <c r="AA314" s="96">
        <f t="shared" si="100"/>
        <v>0</v>
      </c>
      <c r="AB314" s="84"/>
    </row>
    <row r="315" spans="20:28" x14ac:dyDescent="0.2">
      <c r="Z315" s="91"/>
      <c r="AA315" s="96">
        <f t="shared" si="100"/>
        <v>0</v>
      </c>
      <c r="AB315" s="84"/>
    </row>
    <row r="316" spans="20:28" x14ac:dyDescent="0.2">
      <c r="Z316" s="91"/>
      <c r="AA316" s="96">
        <f t="shared" si="100"/>
        <v>0</v>
      </c>
      <c r="AB316" s="84"/>
    </row>
    <row r="317" spans="20:28" x14ac:dyDescent="0.2">
      <c r="Z317" s="91"/>
      <c r="AA317" s="96">
        <f t="shared" si="100"/>
        <v>0</v>
      </c>
      <c r="AB317" s="84"/>
    </row>
    <row r="318" spans="20:28" x14ac:dyDescent="0.2">
      <c r="Z318" s="91"/>
      <c r="AA318" s="96">
        <f t="shared" si="100"/>
        <v>0</v>
      </c>
      <c r="AB318" s="84"/>
    </row>
    <row r="319" spans="20:28" x14ac:dyDescent="0.2">
      <c r="Z319" s="91"/>
      <c r="AA319" s="96">
        <f t="shared" si="100"/>
        <v>0</v>
      </c>
      <c r="AB319" s="84"/>
    </row>
    <row r="320" spans="20:28" x14ac:dyDescent="0.2">
      <c r="Z320" s="91"/>
      <c r="AA320" s="96">
        <f t="shared" si="100"/>
        <v>0</v>
      </c>
      <c r="AB320" s="84"/>
    </row>
    <row r="321" spans="26:28" x14ac:dyDescent="0.2">
      <c r="Z321" s="91"/>
      <c r="AA321" s="96">
        <f t="shared" si="100"/>
        <v>0</v>
      </c>
      <c r="AB321" s="84"/>
    </row>
    <row r="322" spans="26:28" x14ac:dyDescent="0.2">
      <c r="Z322" s="91"/>
      <c r="AA322" s="96">
        <f t="shared" si="100"/>
        <v>0</v>
      </c>
      <c r="AB322" s="84"/>
    </row>
    <row r="323" spans="26:28" x14ac:dyDescent="0.2">
      <c r="Z323" s="91"/>
      <c r="AA323" s="96">
        <f t="shared" si="100"/>
        <v>0</v>
      </c>
      <c r="AB323" s="84"/>
    </row>
    <row r="324" spans="26:28" x14ac:dyDescent="0.2">
      <c r="Z324" s="91"/>
      <c r="AA324" s="96">
        <f t="shared" si="100"/>
        <v>0</v>
      </c>
      <c r="AB324" s="84"/>
    </row>
    <row r="325" spans="26:28" x14ac:dyDescent="0.2">
      <c r="Z325" s="91"/>
      <c r="AA325" s="96">
        <f t="shared" si="100"/>
        <v>0</v>
      </c>
      <c r="AB325" s="84"/>
    </row>
    <row r="326" spans="26:28" x14ac:dyDescent="0.2">
      <c r="Z326" s="91"/>
      <c r="AA326" s="96">
        <f t="shared" si="100"/>
        <v>0</v>
      </c>
      <c r="AB326" s="84"/>
    </row>
    <row r="327" spans="26:28" x14ac:dyDescent="0.2">
      <c r="Z327" s="91"/>
      <c r="AA327" s="96">
        <f t="shared" si="100"/>
        <v>0</v>
      </c>
      <c r="AB327" s="84"/>
    </row>
    <row r="328" spans="26:28" x14ac:dyDescent="0.2">
      <c r="Z328" s="91"/>
      <c r="AA328" s="96">
        <f t="shared" si="100"/>
        <v>0</v>
      </c>
      <c r="AB328" s="84"/>
    </row>
    <row r="329" spans="26:28" x14ac:dyDescent="0.2">
      <c r="Z329" s="91"/>
      <c r="AA329" s="96">
        <f t="shared" si="100"/>
        <v>0</v>
      </c>
      <c r="AB329" s="84"/>
    </row>
    <row r="330" spans="26:28" x14ac:dyDescent="0.2">
      <c r="Z330" s="91"/>
      <c r="AA330" s="96">
        <f t="shared" ref="AA330:AA361" si="101">Q330*E330</f>
        <v>0</v>
      </c>
      <c r="AB330" s="84"/>
    </row>
    <row r="331" spans="26:28" x14ac:dyDescent="0.2">
      <c r="Z331" s="91"/>
      <c r="AA331" s="96">
        <f t="shared" si="101"/>
        <v>0</v>
      </c>
      <c r="AB331" s="84"/>
    </row>
    <row r="332" spans="26:28" x14ac:dyDescent="0.2">
      <c r="Z332" s="91"/>
      <c r="AA332" s="96">
        <f t="shared" si="101"/>
        <v>0</v>
      </c>
      <c r="AB332" s="84"/>
    </row>
    <row r="333" spans="26:28" x14ac:dyDescent="0.2">
      <c r="Z333" s="91"/>
      <c r="AA333" s="96">
        <f t="shared" si="101"/>
        <v>0</v>
      </c>
      <c r="AB333" s="84"/>
    </row>
    <row r="334" spans="26:28" x14ac:dyDescent="0.2">
      <c r="Z334" s="91"/>
      <c r="AA334" s="96">
        <f t="shared" si="101"/>
        <v>0</v>
      </c>
      <c r="AB334" s="84"/>
    </row>
    <row r="335" spans="26:28" x14ac:dyDescent="0.2">
      <c r="Z335" s="91"/>
      <c r="AA335" s="96">
        <f t="shared" si="101"/>
        <v>0</v>
      </c>
      <c r="AB335" s="84"/>
    </row>
    <row r="336" spans="26:28" x14ac:dyDescent="0.2">
      <c r="Z336" s="91"/>
      <c r="AA336" s="96">
        <f t="shared" si="101"/>
        <v>0</v>
      </c>
      <c r="AB336" s="84"/>
    </row>
    <row r="337" spans="26:28" x14ac:dyDescent="0.2">
      <c r="Z337" s="91"/>
      <c r="AA337" s="96">
        <f t="shared" si="101"/>
        <v>0</v>
      </c>
      <c r="AB337" s="84"/>
    </row>
    <row r="338" spans="26:28" x14ac:dyDescent="0.2">
      <c r="Z338" s="91"/>
      <c r="AA338" s="96">
        <f t="shared" si="101"/>
        <v>0</v>
      </c>
      <c r="AB338" s="84"/>
    </row>
    <row r="339" spans="26:28" x14ac:dyDescent="0.2">
      <c r="Z339" s="91"/>
      <c r="AA339" s="96">
        <f t="shared" si="101"/>
        <v>0</v>
      </c>
      <c r="AB339" s="84"/>
    </row>
    <row r="340" spans="26:28" x14ac:dyDescent="0.2">
      <c r="Z340" s="91"/>
      <c r="AA340" s="96">
        <f t="shared" si="101"/>
        <v>0</v>
      </c>
      <c r="AB340" s="84"/>
    </row>
    <row r="341" spans="26:28" x14ac:dyDescent="0.2">
      <c r="Z341" s="91"/>
      <c r="AA341" s="96">
        <f t="shared" si="101"/>
        <v>0</v>
      </c>
      <c r="AB341" s="84"/>
    </row>
    <row r="342" spans="26:28" x14ac:dyDescent="0.2">
      <c r="Z342" s="91"/>
      <c r="AA342" s="96">
        <f t="shared" si="101"/>
        <v>0</v>
      </c>
      <c r="AB342" s="84"/>
    </row>
    <row r="343" spans="26:28" x14ac:dyDescent="0.2">
      <c r="Z343" s="91"/>
      <c r="AA343" s="96">
        <f t="shared" si="101"/>
        <v>0</v>
      </c>
      <c r="AB343" s="84"/>
    </row>
    <row r="344" spans="26:28" x14ac:dyDescent="0.2">
      <c r="Z344" s="91"/>
      <c r="AA344" s="96">
        <f t="shared" si="101"/>
        <v>0</v>
      </c>
      <c r="AB344" s="84"/>
    </row>
    <row r="345" spans="26:28" x14ac:dyDescent="0.2">
      <c r="Z345" s="91"/>
      <c r="AA345" s="96">
        <f t="shared" si="101"/>
        <v>0</v>
      </c>
      <c r="AB345" s="84"/>
    </row>
    <row r="346" spans="26:28" x14ac:dyDescent="0.2">
      <c r="Z346" s="91"/>
      <c r="AA346" s="96">
        <f t="shared" si="101"/>
        <v>0</v>
      </c>
      <c r="AB346" s="84"/>
    </row>
    <row r="347" spans="26:28" x14ac:dyDescent="0.2">
      <c r="Z347" s="91"/>
      <c r="AA347" s="96">
        <f t="shared" si="101"/>
        <v>0</v>
      </c>
      <c r="AB347" s="84"/>
    </row>
    <row r="348" spans="26:28" x14ac:dyDescent="0.2">
      <c r="Z348" s="91"/>
      <c r="AA348" s="96">
        <f t="shared" si="101"/>
        <v>0</v>
      </c>
      <c r="AB348" s="84"/>
    </row>
    <row r="349" spans="26:28" x14ac:dyDescent="0.2">
      <c r="Z349" s="91"/>
      <c r="AA349" s="96">
        <f t="shared" si="101"/>
        <v>0</v>
      </c>
      <c r="AB349" s="84"/>
    </row>
    <row r="350" spans="26:28" x14ac:dyDescent="0.2">
      <c r="Z350" s="91"/>
      <c r="AA350" s="96">
        <f t="shared" si="101"/>
        <v>0</v>
      </c>
      <c r="AB350" s="84"/>
    </row>
    <row r="351" spans="26:28" x14ac:dyDescent="0.2">
      <c r="Z351" s="91"/>
      <c r="AA351" s="96">
        <f t="shared" si="101"/>
        <v>0</v>
      </c>
      <c r="AB351" s="84"/>
    </row>
    <row r="352" spans="26:28" x14ac:dyDescent="0.2">
      <c r="Z352" s="91"/>
      <c r="AA352" s="96">
        <f t="shared" si="101"/>
        <v>0</v>
      </c>
      <c r="AB352" s="84"/>
    </row>
    <row r="353" spans="26:28" x14ac:dyDescent="0.2">
      <c r="Z353" s="91"/>
      <c r="AA353" s="96">
        <f t="shared" si="101"/>
        <v>0</v>
      </c>
      <c r="AB353" s="84"/>
    </row>
    <row r="354" spans="26:28" x14ac:dyDescent="0.2">
      <c r="Z354" s="91"/>
      <c r="AA354" s="96">
        <f t="shared" si="101"/>
        <v>0</v>
      </c>
      <c r="AB354" s="84"/>
    </row>
    <row r="355" spans="26:28" x14ac:dyDescent="0.2">
      <c r="Z355" s="91"/>
      <c r="AA355" s="96">
        <f t="shared" si="101"/>
        <v>0</v>
      </c>
      <c r="AB355" s="84"/>
    </row>
    <row r="356" spans="26:28" x14ac:dyDescent="0.2">
      <c r="Z356" s="91"/>
      <c r="AA356" s="96">
        <f t="shared" si="101"/>
        <v>0</v>
      </c>
      <c r="AB356" s="84"/>
    </row>
    <row r="357" spans="26:28" x14ac:dyDescent="0.2">
      <c r="Z357" s="91"/>
      <c r="AA357" s="96">
        <f t="shared" si="101"/>
        <v>0</v>
      </c>
      <c r="AB357" s="84"/>
    </row>
    <row r="358" spans="26:28" x14ac:dyDescent="0.2">
      <c r="Z358" s="91"/>
      <c r="AA358" s="96">
        <f t="shared" si="101"/>
        <v>0</v>
      </c>
      <c r="AB358" s="84"/>
    </row>
    <row r="359" spans="26:28" x14ac:dyDescent="0.2">
      <c r="Z359" s="91"/>
      <c r="AA359" s="96">
        <f t="shared" si="101"/>
        <v>0</v>
      </c>
      <c r="AB359" s="84"/>
    </row>
    <row r="360" spans="26:28" x14ac:dyDescent="0.2">
      <c r="Z360" s="91"/>
      <c r="AA360" s="96">
        <f t="shared" si="101"/>
        <v>0</v>
      </c>
      <c r="AB360" s="84"/>
    </row>
    <row r="361" spans="26:28" x14ac:dyDescent="0.2">
      <c r="Z361" s="91"/>
      <c r="AA361" s="96">
        <f t="shared" si="101"/>
        <v>0</v>
      </c>
      <c r="AB361" s="84"/>
    </row>
    <row r="362" spans="26:28" x14ac:dyDescent="0.2">
      <c r="AA362" s="96">
        <f t="shared" ref="AA362:AA379" si="102">Q362*E362</f>
        <v>0</v>
      </c>
      <c r="AB362" s="93"/>
    </row>
    <row r="363" spans="26:28" x14ac:dyDescent="0.2">
      <c r="AA363" s="96">
        <f t="shared" si="102"/>
        <v>0</v>
      </c>
      <c r="AB363" s="93"/>
    </row>
    <row r="364" spans="26:28" x14ac:dyDescent="0.2">
      <c r="AA364" s="96">
        <f t="shared" si="102"/>
        <v>0</v>
      </c>
      <c r="AB364" s="93"/>
    </row>
    <row r="365" spans="26:28" x14ac:dyDescent="0.2">
      <c r="AA365" s="96">
        <f t="shared" si="102"/>
        <v>0</v>
      </c>
      <c r="AB365" s="93"/>
    </row>
    <row r="366" spans="26:28" x14ac:dyDescent="0.2">
      <c r="AA366" s="96">
        <f t="shared" si="102"/>
        <v>0</v>
      </c>
      <c r="AB366" s="93"/>
    </row>
    <row r="367" spans="26:28" x14ac:dyDescent="0.2">
      <c r="AA367" s="96">
        <f t="shared" si="102"/>
        <v>0</v>
      </c>
      <c r="AB367" s="93"/>
    </row>
    <row r="368" spans="26:28" x14ac:dyDescent="0.2">
      <c r="AA368" s="96">
        <f t="shared" si="102"/>
        <v>0</v>
      </c>
      <c r="AB368" s="93"/>
    </row>
    <row r="369" spans="27:28" x14ac:dyDescent="0.2">
      <c r="AA369" s="96">
        <f t="shared" si="102"/>
        <v>0</v>
      </c>
      <c r="AB369" s="93"/>
    </row>
    <row r="370" spans="27:28" x14ac:dyDescent="0.2">
      <c r="AA370" s="96">
        <f t="shared" si="102"/>
        <v>0</v>
      </c>
      <c r="AB370" s="93"/>
    </row>
    <row r="371" spans="27:28" x14ac:dyDescent="0.2">
      <c r="AA371" s="96">
        <f t="shared" si="102"/>
        <v>0</v>
      </c>
      <c r="AB371" s="93"/>
    </row>
    <row r="372" spans="27:28" x14ac:dyDescent="0.2">
      <c r="AA372" s="96">
        <f t="shared" si="102"/>
        <v>0</v>
      </c>
      <c r="AB372" s="93"/>
    </row>
    <row r="373" spans="27:28" x14ac:dyDescent="0.2">
      <c r="AA373" s="96">
        <f t="shared" si="102"/>
        <v>0</v>
      </c>
      <c r="AB373" s="93"/>
    </row>
    <row r="374" spans="27:28" x14ac:dyDescent="0.2">
      <c r="AA374" s="96">
        <f t="shared" si="102"/>
        <v>0</v>
      </c>
      <c r="AB374" s="93"/>
    </row>
    <row r="375" spans="27:28" x14ac:dyDescent="0.2">
      <c r="AA375" s="96">
        <f t="shared" si="102"/>
        <v>0</v>
      </c>
      <c r="AB375" s="93"/>
    </row>
    <row r="376" spans="27:28" x14ac:dyDescent="0.2">
      <c r="AA376" s="96">
        <f t="shared" si="102"/>
        <v>0</v>
      </c>
      <c r="AB376" s="93"/>
    </row>
    <row r="377" spans="27:28" x14ac:dyDescent="0.2">
      <c r="AA377" s="96">
        <f t="shared" si="102"/>
        <v>0</v>
      </c>
      <c r="AB377" s="93"/>
    </row>
    <row r="378" spans="27:28" x14ac:dyDescent="0.2">
      <c r="AA378" s="96">
        <f t="shared" si="102"/>
        <v>0</v>
      </c>
      <c r="AB378" s="93"/>
    </row>
    <row r="379" spans="27:28" x14ac:dyDescent="0.2">
      <c r="AA379" s="96">
        <f t="shared" si="102"/>
        <v>0</v>
      </c>
      <c r="AB379" s="93"/>
    </row>
    <row r="380" spans="27:28" x14ac:dyDescent="0.2">
      <c r="AB380" s="93"/>
    </row>
    <row r="381" spans="27:28" x14ac:dyDescent="0.2">
      <c r="AB381" s="93"/>
    </row>
    <row r="382" spans="27:28" x14ac:dyDescent="0.2">
      <c r="AB382" s="93"/>
    </row>
    <row r="383" spans="27:28" x14ac:dyDescent="0.2">
      <c r="AB383" s="93"/>
    </row>
    <row r="384" spans="27:28" x14ac:dyDescent="0.2">
      <c r="AB384" s="93"/>
    </row>
    <row r="385" spans="28:28" x14ac:dyDescent="0.2">
      <c r="AB385" s="93"/>
    </row>
    <row r="386" spans="28:28" x14ac:dyDescent="0.2">
      <c r="AB386" s="93"/>
    </row>
    <row r="387" spans="28:28" x14ac:dyDescent="0.2">
      <c r="AB387" s="93"/>
    </row>
    <row r="388" spans="28:28" x14ac:dyDescent="0.2">
      <c r="AB388" s="93"/>
    </row>
    <row r="389" spans="28:28" x14ac:dyDescent="0.2">
      <c r="AB389" s="93"/>
    </row>
    <row r="390" spans="28:28" x14ac:dyDescent="0.2">
      <c r="AB390" s="93"/>
    </row>
    <row r="391" spans="28:28" x14ac:dyDescent="0.2">
      <c r="AB391" s="93"/>
    </row>
    <row r="392" spans="28:28" x14ac:dyDescent="0.2">
      <c r="AB392" s="93"/>
    </row>
    <row r="393" spans="28:28" x14ac:dyDescent="0.2">
      <c r="AB393" s="93"/>
    </row>
    <row r="394" spans="28:28" x14ac:dyDescent="0.2">
      <c r="AB394" s="93"/>
    </row>
    <row r="395" spans="28:28" x14ac:dyDescent="0.2">
      <c r="AB395" s="93"/>
    </row>
    <row r="396" spans="28:28" x14ac:dyDescent="0.2">
      <c r="AB396" s="93"/>
    </row>
    <row r="397" spans="28:28" x14ac:dyDescent="0.2">
      <c r="AB397" s="93"/>
    </row>
    <row r="398" spans="28:28" x14ac:dyDescent="0.2">
      <c r="AB398" s="93"/>
    </row>
    <row r="399" spans="28:28" x14ac:dyDescent="0.2">
      <c r="AB399" s="93"/>
    </row>
    <row r="400" spans="28:28" x14ac:dyDescent="0.2">
      <c r="AB400" s="93"/>
    </row>
    <row r="401" spans="28:28" x14ac:dyDescent="0.2">
      <c r="AB401" s="93"/>
    </row>
    <row r="402" spans="28:28" x14ac:dyDescent="0.2">
      <c r="AB402" s="93"/>
    </row>
    <row r="403" spans="28:28" x14ac:dyDescent="0.2">
      <c r="AB403" s="93"/>
    </row>
    <row r="404" spans="28:28" x14ac:dyDescent="0.2">
      <c r="AB404" s="93"/>
    </row>
    <row r="405" spans="28:28" x14ac:dyDescent="0.2">
      <c r="AB405" s="93"/>
    </row>
    <row r="406" spans="28:28" x14ac:dyDescent="0.2">
      <c r="AB406" s="93"/>
    </row>
    <row r="407" spans="28:28" x14ac:dyDescent="0.2">
      <c r="AB407" s="93"/>
    </row>
    <row r="408" spans="28:28" x14ac:dyDescent="0.2">
      <c r="AB408" s="93"/>
    </row>
    <row r="409" spans="28:28" x14ac:dyDescent="0.2">
      <c r="AB409" s="93"/>
    </row>
    <row r="410" spans="28:28" x14ac:dyDescent="0.2">
      <c r="AB410" s="93"/>
    </row>
    <row r="411" spans="28:28" x14ac:dyDescent="0.2">
      <c r="AB411" s="93"/>
    </row>
    <row r="412" spans="28:28" x14ac:dyDescent="0.2">
      <c r="AB412" s="93"/>
    </row>
    <row r="413" spans="28:28" x14ac:dyDescent="0.2">
      <c r="AB413" s="93"/>
    </row>
    <row r="414" spans="28:28" x14ac:dyDescent="0.2">
      <c r="AB414" s="93"/>
    </row>
    <row r="415" spans="28:28" x14ac:dyDescent="0.2">
      <c r="AB415" s="93"/>
    </row>
    <row r="416" spans="28:28" x14ac:dyDescent="0.2">
      <c r="AB416" s="93"/>
    </row>
    <row r="417" spans="28:28" x14ac:dyDescent="0.2">
      <c r="AB417" s="93"/>
    </row>
  </sheetData>
  <autoFilter ref="A25:AB239" xr:uid="{00000000-0009-0000-0000-000000000000}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"/>
  <sheetViews>
    <sheetView zoomScale="110" workbookViewId="0">
      <selection activeCell="C11" sqref="C11"/>
    </sheetView>
  </sheetViews>
  <sheetFormatPr defaultRowHeight="12.75" x14ac:dyDescent="0.2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 x14ac:dyDescent="0.25">
      <c r="A1" s="469" t="s">
        <v>6</v>
      </c>
      <c r="B1" s="469"/>
      <c r="C1" s="469"/>
      <c r="D1" s="469"/>
    </row>
    <row r="2" spans="1:4" ht="24.75" customHeight="1" x14ac:dyDescent="0.25">
      <c r="A2" s="469" t="s">
        <v>503</v>
      </c>
      <c r="B2" s="469"/>
      <c r="C2" s="469"/>
      <c r="D2" s="469"/>
    </row>
    <row r="3" spans="1:4" ht="19.5" customHeight="1" x14ac:dyDescent="0.25">
      <c r="A3" s="469" t="s">
        <v>504</v>
      </c>
      <c r="B3" s="469"/>
      <c r="C3" s="469"/>
      <c r="D3" s="469"/>
    </row>
    <row r="5" spans="1:4" ht="15" customHeight="1" x14ac:dyDescent="0.25">
      <c r="A5" s="469" t="s">
        <v>505</v>
      </c>
      <c r="B5" s="469"/>
      <c r="C5" s="469"/>
      <c r="D5" s="469"/>
    </row>
    <row r="7" spans="1:4" s="9" customFormat="1" x14ac:dyDescent="0.25">
      <c r="A7" s="11" t="s">
        <v>506</v>
      </c>
      <c r="B7" s="8" t="s">
        <v>507</v>
      </c>
      <c r="C7" s="15" t="s">
        <v>508</v>
      </c>
      <c r="D7" s="8" t="s">
        <v>509</v>
      </c>
    </row>
    <row r="8" spans="1:4" x14ac:dyDescent="0.25">
      <c r="C8" s="13"/>
    </row>
    <row r="9" spans="1:4" s="9" customFormat="1" x14ac:dyDescent="0.25">
      <c r="A9" s="1">
        <v>6</v>
      </c>
      <c r="B9" s="2" t="s">
        <v>144</v>
      </c>
      <c r="C9" s="16"/>
      <c r="D9" s="8"/>
    </row>
    <row r="10" spans="1:4" x14ac:dyDescent="0.25">
      <c r="A10" s="3"/>
      <c r="B10" s="4"/>
      <c r="C10" s="14"/>
      <c r="D10" s="4"/>
    </row>
    <row r="11" spans="1:4" s="9" customFormat="1" x14ac:dyDescent="0.25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 x14ac:dyDescent="0.25">
      <c r="A12" s="5"/>
      <c r="B12" s="6"/>
      <c r="C12" s="18"/>
      <c r="D12" s="6"/>
    </row>
    <row r="13" spans="1:4" x14ac:dyDescent="0.2">
      <c r="A13" s="5"/>
      <c r="B13" s="6" t="s">
        <v>511</v>
      </c>
      <c r="C13" s="125">
        <v>1114</v>
      </c>
      <c r="D13" s="127" t="s">
        <v>512</v>
      </c>
    </row>
    <row r="14" spans="1:4" s="12" customFormat="1" x14ac:dyDescent="0.25">
      <c r="A14" s="3"/>
      <c r="B14" s="4"/>
      <c r="C14" s="14"/>
      <c r="D14" s="4"/>
    </row>
    <row r="15" spans="1:4" x14ac:dyDescent="0.25">
      <c r="A15" s="3"/>
      <c r="B15" s="6" t="s">
        <v>513</v>
      </c>
      <c r="C15" s="18">
        <v>7</v>
      </c>
      <c r="D15" s="6" t="s">
        <v>514</v>
      </c>
    </row>
    <row r="16" spans="1:4" x14ac:dyDescent="0.25">
      <c r="A16" s="3"/>
      <c r="B16" s="6"/>
      <c r="C16" s="18"/>
      <c r="D16" s="6"/>
    </row>
    <row r="17" spans="1:4" s="12" customFormat="1" x14ac:dyDescent="0.25">
      <c r="A17" s="3"/>
      <c r="B17" s="4" t="s">
        <v>515</v>
      </c>
      <c r="C17" s="14">
        <v>1</v>
      </c>
      <c r="D17" s="4" t="s">
        <v>516</v>
      </c>
    </row>
    <row r="18" spans="1:4" x14ac:dyDescent="0.25">
      <c r="A18" s="3"/>
      <c r="B18" s="6"/>
      <c r="C18" s="18"/>
      <c r="D18" s="6"/>
    </row>
    <row r="19" spans="1:4" x14ac:dyDescent="0.25">
      <c r="A19" s="3"/>
      <c r="B19" s="129" t="s">
        <v>517</v>
      </c>
      <c r="C19" s="18"/>
      <c r="D19" s="6"/>
    </row>
    <row r="20" spans="1:4" ht="13.5" thickBot="1" x14ac:dyDescent="0.3">
      <c r="A20" s="3"/>
      <c r="B20" s="130" t="s">
        <v>518</v>
      </c>
    </row>
    <row r="21" spans="1:4" ht="13.5" thickBot="1" x14ac:dyDescent="0.3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 x14ac:dyDescent="0.25">
      <c r="A22" s="3"/>
      <c r="B22" s="6"/>
      <c r="C22" s="18"/>
      <c r="D22" s="6"/>
    </row>
    <row r="23" spans="1:4" x14ac:dyDescent="0.25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 x14ac:dyDescent="0.25">
      <c r="A24" s="3"/>
      <c r="B24" s="6"/>
      <c r="C24" s="18"/>
      <c r="D24" s="6"/>
    </row>
    <row r="25" spans="1:4" s="12" customFormat="1" x14ac:dyDescent="0.25">
      <c r="A25" s="3"/>
      <c r="B25" s="126" t="s">
        <v>521</v>
      </c>
      <c r="C25" s="128">
        <f>ROUND(C23/C13,4)</f>
        <v>0.1429</v>
      </c>
      <c r="D25" s="4"/>
    </row>
    <row r="26" spans="1:4" x14ac:dyDescent="0.25">
      <c r="A26" s="3"/>
      <c r="B26" s="4"/>
      <c r="C26" s="14"/>
      <c r="D26" s="4"/>
    </row>
    <row r="27" spans="1:4" s="9" customFormat="1" hidden="1" x14ac:dyDescent="0.25">
      <c r="A27" s="1">
        <v>10</v>
      </c>
      <c r="B27" s="2" t="s">
        <v>194</v>
      </c>
      <c r="C27" s="16"/>
      <c r="D27" s="8"/>
    </row>
    <row r="28" spans="1:4" hidden="1" x14ac:dyDescent="0.25">
      <c r="A28" s="3"/>
      <c r="B28" s="4"/>
      <c r="C28" s="14"/>
      <c r="D28" s="4"/>
    </row>
    <row r="29" spans="1:4" s="9" customFormat="1" hidden="1" x14ac:dyDescent="0.25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 x14ac:dyDescent="0.2">
      <c r="A30" s="5"/>
      <c r="B30" s="6"/>
      <c r="C30" s="142"/>
      <c r="D30" s="125"/>
    </row>
    <row r="31" spans="1:4" hidden="1" x14ac:dyDescent="0.2">
      <c r="A31" s="5"/>
      <c r="B31" s="6" t="s">
        <v>511</v>
      </c>
      <c r="C31" s="125">
        <v>1114</v>
      </c>
      <c r="D31" s="127" t="s">
        <v>512</v>
      </c>
    </row>
    <row r="32" spans="1:4" hidden="1" x14ac:dyDescent="0.25">
      <c r="A32" s="3"/>
      <c r="B32" s="4"/>
      <c r="C32" s="14"/>
      <c r="D32" s="4"/>
    </row>
    <row r="33" spans="1:4" hidden="1" x14ac:dyDescent="0.25">
      <c r="A33" s="3"/>
      <c r="B33" s="6" t="s">
        <v>513</v>
      </c>
      <c r="C33" s="18">
        <v>7</v>
      </c>
      <c r="D33" s="6" t="s">
        <v>514</v>
      </c>
    </row>
    <row r="34" spans="1:4" hidden="1" x14ac:dyDescent="0.25">
      <c r="A34" s="3"/>
      <c r="B34" s="6"/>
      <c r="C34" s="18"/>
      <c r="D34" s="6"/>
    </row>
    <row r="35" spans="1:4" hidden="1" x14ac:dyDescent="0.25">
      <c r="A35" s="3"/>
      <c r="B35" s="4" t="s">
        <v>515</v>
      </c>
      <c r="C35" s="14"/>
      <c r="D35" s="4" t="s">
        <v>516</v>
      </c>
    </row>
    <row r="36" spans="1:4" hidden="1" x14ac:dyDescent="0.25">
      <c r="A36" s="3"/>
      <c r="B36" s="6"/>
      <c r="C36" s="18"/>
      <c r="D36" s="6"/>
    </row>
    <row r="37" spans="1:4" hidden="1" x14ac:dyDescent="0.25">
      <c r="A37" s="3"/>
      <c r="B37" s="129" t="s">
        <v>517</v>
      </c>
      <c r="C37" s="18"/>
      <c r="D37" s="6"/>
    </row>
    <row r="38" spans="1:4" ht="13.5" hidden="1" thickBot="1" x14ac:dyDescent="0.3">
      <c r="A38" s="3"/>
      <c r="B38" s="130" t="s">
        <v>518</v>
      </c>
    </row>
    <row r="39" spans="1:4" ht="13.5" hidden="1" thickBot="1" x14ac:dyDescent="0.3">
      <c r="A39" s="3"/>
      <c r="B39" s="131" t="s">
        <v>519</v>
      </c>
      <c r="C39" s="18">
        <f>C35*C31/C33</f>
        <v>0</v>
      </c>
      <c r="D39" s="6" t="s">
        <v>510</v>
      </c>
    </row>
    <row r="40" spans="1:4" hidden="1" x14ac:dyDescent="0.25">
      <c r="A40" s="3"/>
      <c r="B40" s="6"/>
      <c r="C40" s="18"/>
      <c r="D40" s="6"/>
    </row>
    <row r="41" spans="1:4" hidden="1" x14ac:dyDescent="0.25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 x14ac:dyDescent="0.25">
      <c r="A42" s="3"/>
      <c r="B42" s="6"/>
      <c r="C42" s="18"/>
      <c r="D42" s="6"/>
    </row>
    <row r="43" spans="1:4" hidden="1" x14ac:dyDescent="0.25">
      <c r="A43" s="3"/>
      <c r="B43" s="126" t="s">
        <v>521</v>
      </c>
      <c r="C43" s="128">
        <f>ROUND(C41/C31,4)</f>
        <v>0</v>
      </c>
      <c r="D43" s="4"/>
    </row>
    <row r="44" spans="1:4" hidden="1" x14ac:dyDescent="0.25">
      <c r="A44" s="3"/>
      <c r="B44" s="126"/>
      <c r="C44" s="128"/>
      <c r="D44" s="4"/>
    </row>
    <row r="45" spans="1:4" s="9" customFormat="1" hidden="1" x14ac:dyDescent="0.25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 x14ac:dyDescent="0.25">
      <c r="A46" s="5"/>
      <c r="B46" s="6"/>
      <c r="C46" s="5"/>
      <c r="D46" s="4"/>
    </row>
    <row r="47" spans="1:4" hidden="1" x14ac:dyDescent="0.2">
      <c r="A47" s="5"/>
      <c r="B47" s="6" t="s">
        <v>511</v>
      </c>
      <c r="C47" s="125">
        <v>1114</v>
      </c>
      <c r="D47" s="127" t="s">
        <v>512</v>
      </c>
    </row>
    <row r="48" spans="1:4" hidden="1" x14ac:dyDescent="0.25">
      <c r="A48" s="3"/>
      <c r="B48" s="4"/>
      <c r="C48" s="14"/>
      <c r="D48" s="4"/>
    </row>
    <row r="49" spans="1:4" hidden="1" x14ac:dyDescent="0.25">
      <c r="A49" s="3"/>
      <c r="B49" s="6" t="s">
        <v>513</v>
      </c>
      <c r="C49" s="18">
        <v>7</v>
      </c>
      <c r="D49" s="6" t="s">
        <v>514</v>
      </c>
    </row>
    <row r="50" spans="1:4" hidden="1" x14ac:dyDescent="0.25">
      <c r="A50" s="3"/>
      <c r="B50" s="6"/>
      <c r="C50" s="18"/>
      <c r="D50" s="6"/>
    </row>
    <row r="51" spans="1:4" s="12" customFormat="1" hidden="1" x14ac:dyDescent="0.25">
      <c r="A51" s="3"/>
      <c r="B51" s="4" t="s">
        <v>515</v>
      </c>
      <c r="C51" s="14"/>
      <c r="D51" s="4" t="s">
        <v>516</v>
      </c>
    </row>
    <row r="52" spans="1:4" hidden="1" x14ac:dyDescent="0.25">
      <c r="A52" s="3"/>
      <c r="B52" s="6"/>
      <c r="C52" s="18"/>
      <c r="D52" s="6"/>
    </row>
    <row r="53" spans="1:4" hidden="1" x14ac:dyDescent="0.25">
      <c r="A53" s="3"/>
      <c r="B53" s="129" t="s">
        <v>517</v>
      </c>
      <c r="C53" s="18"/>
      <c r="D53" s="6"/>
    </row>
    <row r="54" spans="1:4" ht="13.5" hidden="1" thickBot="1" x14ac:dyDescent="0.3">
      <c r="A54" s="3"/>
      <c r="B54" s="130" t="s">
        <v>518</v>
      </c>
    </row>
    <row r="55" spans="1:4" ht="13.5" hidden="1" thickBot="1" x14ac:dyDescent="0.3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 x14ac:dyDescent="0.25">
      <c r="A56" s="3"/>
      <c r="B56" s="6"/>
      <c r="C56" s="18"/>
      <c r="D56" s="6"/>
    </row>
    <row r="57" spans="1:4" hidden="1" x14ac:dyDescent="0.25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 x14ac:dyDescent="0.25">
      <c r="A58" s="3"/>
      <c r="B58" s="6"/>
      <c r="C58" s="18"/>
      <c r="D58" s="6"/>
    </row>
    <row r="59" spans="1:4" hidden="1" x14ac:dyDescent="0.25">
      <c r="A59" s="3"/>
      <c r="B59" s="126" t="s">
        <v>521</v>
      </c>
      <c r="C59" s="128">
        <f>ROUND(C57/C47,4)</f>
        <v>0</v>
      </c>
      <c r="D59" s="4"/>
    </row>
    <row r="60" spans="1:4" hidden="1" x14ac:dyDescent="0.25"/>
    <row r="61" spans="1:4" hidden="1" x14ac:dyDescent="0.25"/>
    <row r="62" spans="1:4" hidden="1" x14ac:dyDescent="0.25"/>
    <row r="63" spans="1:4" hidden="1" x14ac:dyDescent="0.25"/>
    <row r="64" spans="1:4" s="9" customFormat="1" x14ac:dyDescent="0.25">
      <c r="A64" s="1">
        <v>10</v>
      </c>
      <c r="B64" s="2" t="s">
        <v>194</v>
      </c>
      <c r="C64" s="16"/>
      <c r="D64" s="8"/>
    </row>
    <row r="65" spans="1:4" x14ac:dyDescent="0.25">
      <c r="A65" s="3"/>
      <c r="B65" s="4"/>
      <c r="C65" s="14"/>
      <c r="D65" s="4"/>
    </row>
    <row r="66" spans="1:4" s="9" customFormat="1" x14ac:dyDescent="0.25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 x14ac:dyDescent="0.2">
      <c r="A67" s="5"/>
      <c r="B67" s="6"/>
      <c r="C67" s="142"/>
      <c r="D67" s="125"/>
    </row>
    <row r="68" spans="1:4" x14ac:dyDescent="0.2">
      <c r="A68" s="5"/>
      <c r="B68" s="6" t="s">
        <v>511</v>
      </c>
      <c r="C68" s="125">
        <v>1114</v>
      </c>
      <c r="D68" s="127" t="s">
        <v>512</v>
      </c>
    </row>
    <row r="69" spans="1:4" x14ac:dyDescent="0.25">
      <c r="A69" s="3"/>
      <c r="B69" s="4"/>
      <c r="C69" s="14"/>
      <c r="D69" s="4"/>
    </row>
    <row r="70" spans="1:4" x14ac:dyDescent="0.25">
      <c r="A70" s="3"/>
      <c r="B70" s="6" t="s">
        <v>513</v>
      </c>
      <c r="C70" s="18">
        <v>7</v>
      </c>
      <c r="D70" s="6" t="s">
        <v>514</v>
      </c>
    </row>
    <row r="71" spans="1:4" x14ac:dyDescent="0.25">
      <c r="A71" s="3"/>
      <c r="B71" s="6"/>
      <c r="C71" s="18"/>
      <c r="D71" s="6"/>
    </row>
    <row r="72" spans="1:4" x14ac:dyDescent="0.25">
      <c r="A72" s="3"/>
      <c r="B72" s="4" t="s">
        <v>515</v>
      </c>
      <c r="C72" s="14">
        <v>1</v>
      </c>
      <c r="D72" s="4" t="s">
        <v>516</v>
      </c>
    </row>
    <row r="73" spans="1:4" x14ac:dyDescent="0.25">
      <c r="A73" s="3"/>
      <c r="B73" s="6"/>
      <c r="C73" s="18"/>
      <c r="D73" s="6"/>
    </row>
    <row r="74" spans="1:4" x14ac:dyDescent="0.25">
      <c r="A74" s="3"/>
      <c r="B74" s="129" t="s">
        <v>517</v>
      </c>
      <c r="C74" s="18"/>
      <c r="D74" s="6"/>
    </row>
    <row r="75" spans="1:4" ht="13.5" thickBot="1" x14ac:dyDescent="0.3">
      <c r="A75" s="3"/>
      <c r="B75" s="130" t="s">
        <v>518</v>
      </c>
    </row>
    <row r="76" spans="1:4" ht="13.5" thickBot="1" x14ac:dyDescent="0.3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 x14ac:dyDescent="0.25">
      <c r="A77" s="3"/>
      <c r="B77" s="6"/>
      <c r="C77" s="18"/>
      <c r="D77" s="6"/>
    </row>
    <row r="78" spans="1:4" x14ac:dyDescent="0.25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 x14ac:dyDescent="0.25">
      <c r="A79" s="3"/>
      <c r="B79" s="6"/>
      <c r="C79" s="18"/>
      <c r="D79" s="6"/>
    </row>
    <row r="80" spans="1:4" x14ac:dyDescent="0.25">
      <c r="A80" s="3"/>
      <c r="B80" s="126" t="s">
        <v>521</v>
      </c>
      <c r="C80" s="128">
        <f>ROUND(C78/C68,4)</f>
        <v>0.1429</v>
      </c>
      <c r="D80" s="4"/>
    </row>
    <row r="81" spans="1:4" x14ac:dyDescent="0.25">
      <c r="A81" s="3"/>
      <c r="B81" s="126"/>
      <c r="C81" s="128"/>
      <c r="D81" s="4"/>
    </row>
    <row r="82" spans="1:4" s="9" customFormat="1" x14ac:dyDescent="0.25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 x14ac:dyDescent="0.25">
      <c r="A83" s="5"/>
      <c r="B83" s="6"/>
      <c r="C83" s="5"/>
      <c r="D83" s="4"/>
    </row>
    <row r="84" spans="1:4" x14ac:dyDescent="0.2">
      <c r="A84" s="5"/>
      <c r="B84" s="6" t="s">
        <v>511</v>
      </c>
      <c r="C84" s="125">
        <v>1114</v>
      </c>
      <c r="D84" s="127" t="s">
        <v>512</v>
      </c>
    </row>
    <row r="85" spans="1:4" x14ac:dyDescent="0.25">
      <c r="A85" s="3"/>
      <c r="B85" s="4"/>
      <c r="C85" s="14"/>
      <c r="D85" s="4"/>
    </row>
    <row r="86" spans="1:4" x14ac:dyDescent="0.25">
      <c r="A86" s="3"/>
      <c r="B86" s="6" t="s">
        <v>513</v>
      </c>
      <c r="C86" s="18">
        <v>7</v>
      </c>
      <c r="D86" s="6" t="s">
        <v>514</v>
      </c>
    </row>
    <row r="87" spans="1:4" x14ac:dyDescent="0.25">
      <c r="A87" s="3"/>
      <c r="B87" s="6"/>
      <c r="C87" s="18"/>
      <c r="D87" s="6"/>
    </row>
    <row r="88" spans="1:4" s="12" customFormat="1" x14ac:dyDescent="0.25">
      <c r="A88" s="3"/>
      <c r="B88" s="4" t="s">
        <v>515</v>
      </c>
      <c r="C88" s="14">
        <v>1</v>
      </c>
      <c r="D88" s="4" t="s">
        <v>516</v>
      </c>
    </row>
    <row r="89" spans="1:4" x14ac:dyDescent="0.25">
      <c r="A89" s="3"/>
      <c r="B89" s="6"/>
      <c r="C89" s="18"/>
      <c r="D89" s="6"/>
    </row>
    <row r="90" spans="1:4" x14ac:dyDescent="0.25">
      <c r="A90" s="3"/>
      <c r="B90" s="129" t="s">
        <v>517</v>
      </c>
      <c r="C90" s="18"/>
      <c r="D90" s="6"/>
    </row>
    <row r="91" spans="1:4" ht="13.5" thickBot="1" x14ac:dyDescent="0.3">
      <c r="A91" s="3"/>
      <c r="B91" s="130" t="s">
        <v>518</v>
      </c>
    </row>
    <row r="92" spans="1:4" ht="13.5" thickBot="1" x14ac:dyDescent="0.3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 x14ac:dyDescent="0.25">
      <c r="A93" s="3"/>
      <c r="B93" s="6"/>
      <c r="C93" s="18"/>
      <c r="D93" s="6"/>
    </row>
    <row r="94" spans="1:4" x14ac:dyDescent="0.25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 x14ac:dyDescent="0.25">
      <c r="A95" s="3"/>
      <c r="B95" s="6"/>
      <c r="C95" s="18"/>
      <c r="D95" s="6"/>
    </row>
    <row r="96" spans="1:4" x14ac:dyDescent="0.25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7" zoomScale="150" workbookViewId="0">
      <selection activeCell="D13" sqref="D13"/>
    </sheetView>
  </sheetViews>
  <sheetFormatPr defaultRowHeight="18.75" x14ac:dyDescent="0.3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 x14ac:dyDescent="0.35">
      <c r="A1" s="470" t="s">
        <v>522</v>
      </c>
      <c r="B1" s="471"/>
      <c r="C1" s="472"/>
    </row>
    <row r="2" spans="1:4" x14ac:dyDescent="0.3">
      <c r="A2" s="122" t="s">
        <v>506</v>
      </c>
      <c r="B2" s="122" t="s">
        <v>523</v>
      </c>
      <c r="C2" s="122" t="s">
        <v>524</v>
      </c>
    </row>
    <row r="3" spans="1:4" x14ac:dyDescent="0.3">
      <c r="A3" s="118" t="s">
        <v>525</v>
      </c>
      <c r="B3" s="119">
        <v>62112.09</v>
      </c>
      <c r="C3" s="120" t="s">
        <v>526</v>
      </c>
    </row>
    <row r="4" spans="1:4" x14ac:dyDescent="0.3">
      <c r="A4" s="118" t="s">
        <v>527</v>
      </c>
      <c r="B4" s="119">
        <v>32073.11</v>
      </c>
      <c r="C4" s="120" t="s">
        <v>526</v>
      </c>
    </row>
    <row r="5" spans="1:4" x14ac:dyDescent="0.3">
      <c r="A5" s="118" t="s">
        <v>528</v>
      </c>
      <c r="B5" s="119">
        <v>11237.65</v>
      </c>
      <c r="C5" s="120" t="s">
        <v>526</v>
      </c>
    </row>
    <row r="6" spans="1:4" x14ac:dyDescent="0.3">
      <c r="A6" s="118" t="s">
        <v>529</v>
      </c>
      <c r="B6" s="119">
        <v>17485.513199999998</v>
      </c>
      <c r="C6" s="120" t="s">
        <v>526</v>
      </c>
    </row>
    <row r="7" spans="1:4" x14ac:dyDescent="0.3">
      <c r="A7" s="118" t="s">
        <v>530</v>
      </c>
      <c r="B7" s="119" t="e">
        <f>'PLAN. ORÇAMENTO'!AA233</f>
        <v>#REF!</v>
      </c>
      <c r="C7" s="120" t="s">
        <v>526</v>
      </c>
    </row>
    <row r="8" spans="1:4" x14ac:dyDescent="0.3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 x14ac:dyDescent="0.3">
      <c r="A9" s="133" t="s">
        <v>533</v>
      </c>
      <c r="B9" s="134" t="e">
        <f>SUM(B3:B7)</f>
        <v>#REF!</v>
      </c>
      <c r="C9" s="135"/>
    </row>
    <row r="10" spans="1:4" x14ac:dyDescent="0.3">
      <c r="A10" s="112" t="s">
        <v>532</v>
      </c>
      <c r="B10" s="113" t="e">
        <f>B8</f>
        <v>#REF!</v>
      </c>
    </row>
    <row r="11" spans="1:4" x14ac:dyDescent="0.3">
      <c r="A11" s="114" t="s">
        <v>534</v>
      </c>
      <c r="B11" s="115" t="e">
        <f>SUM(B9:B10)</f>
        <v>#REF!</v>
      </c>
      <c r="C11" s="132"/>
      <c r="D11" s="132"/>
    </row>
    <row r="13" spans="1:4" x14ac:dyDescent="0.3">
      <c r="A13" s="114" t="s">
        <v>535</v>
      </c>
      <c r="B13" s="115">
        <v>550194.43999999994</v>
      </c>
      <c r="C13" s="132"/>
      <c r="D13" s="132"/>
    </row>
    <row r="14" spans="1:4" x14ac:dyDescent="0.3">
      <c r="A14" s="108"/>
      <c r="B14" s="109"/>
    </row>
    <row r="15" spans="1:4" x14ac:dyDescent="0.3">
      <c r="A15" s="123" t="s">
        <v>536</v>
      </c>
      <c r="B15" s="124" t="e">
        <f>B13-B9</f>
        <v>#REF!</v>
      </c>
    </row>
    <row r="16" spans="1:4" x14ac:dyDescent="0.3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76"/>
  <sheetViews>
    <sheetView tabSelected="1" topLeftCell="D13" zoomScale="120" zoomScaleNormal="120" workbookViewId="0">
      <pane ySplit="2580"/>
      <selection activeCell="M13" sqref="M13"/>
      <selection pane="bottomLeft" activeCell="M228" sqref="M228"/>
    </sheetView>
  </sheetViews>
  <sheetFormatPr defaultRowHeight="12.75" x14ac:dyDescent="0.25"/>
  <cols>
    <col min="1" max="1" width="7.42578125" style="236" customWidth="1"/>
    <col min="2" max="2" width="49.42578125" style="236" customWidth="1"/>
    <col min="3" max="3" width="9.42578125" style="236" customWidth="1"/>
    <col min="4" max="4" width="11.5703125" style="254" customWidth="1"/>
    <col min="5" max="5" width="12" style="314" customWidth="1"/>
    <col min="6" max="6" width="20" style="253" customWidth="1"/>
    <col min="7" max="7" width="11" style="266" customWidth="1"/>
    <col min="8" max="8" width="11.140625" style="269" customWidth="1"/>
    <col min="9" max="9" width="11.28515625" style="267" customWidth="1"/>
    <col min="10" max="10" width="5.5703125" style="264" hidden="1" customWidth="1"/>
    <col min="11" max="11" width="17.5703125" style="253" customWidth="1"/>
    <col min="12" max="12" width="19.42578125" style="276" customWidth="1"/>
    <col min="13" max="13" width="22.28515625" style="236" customWidth="1"/>
    <col min="14" max="14" width="19" style="236" customWidth="1"/>
    <col min="15" max="15" width="19.140625" style="236" customWidth="1"/>
    <col min="16" max="16" width="10.28515625" style="236" customWidth="1"/>
    <col min="17" max="16384" width="9.140625" style="236"/>
  </cols>
  <sheetData>
    <row r="2" spans="1:16" ht="14.25" customHeight="1" x14ac:dyDescent="0.25">
      <c r="A2" s="548" t="s">
        <v>538</v>
      </c>
      <c r="B2" s="548"/>
      <c r="C2" s="548"/>
      <c r="D2" s="490"/>
      <c r="E2" s="271"/>
      <c r="F2" s="271"/>
      <c r="G2" s="271"/>
      <c r="H2" s="271"/>
      <c r="I2" s="271"/>
      <c r="J2" s="271"/>
      <c r="K2" s="271"/>
      <c r="L2" s="271"/>
      <c r="M2" s="271"/>
      <c r="N2" s="228"/>
      <c r="O2" s="228"/>
      <c r="P2" s="228"/>
    </row>
    <row r="3" spans="1:16" ht="41.25" customHeight="1" x14ac:dyDescent="0.25">
      <c r="A3" s="548" t="s">
        <v>539</v>
      </c>
      <c r="B3" s="548"/>
      <c r="C3" s="548"/>
      <c r="D3" s="490"/>
      <c r="E3" s="271"/>
      <c r="F3" s="271"/>
      <c r="G3" s="271"/>
      <c r="H3" s="271"/>
      <c r="I3" s="271"/>
      <c r="J3" s="271"/>
      <c r="K3" s="271"/>
      <c r="L3" s="271"/>
      <c r="M3" s="271"/>
      <c r="N3" s="228"/>
      <c r="O3" s="228"/>
      <c r="P3" s="228"/>
    </row>
    <row r="4" spans="1:16" ht="51.75" hidden="1" customHeight="1" x14ac:dyDescent="0.25">
      <c r="A4" s="490" t="s">
        <v>540</v>
      </c>
      <c r="B4" s="49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28"/>
      <c r="O4" s="228"/>
      <c r="P4" s="228"/>
    </row>
    <row r="5" spans="1:16" ht="3" customHeight="1" thickBot="1" x14ac:dyDescent="0.3"/>
    <row r="6" spans="1:16" ht="29.25" customHeight="1" x14ac:dyDescent="0.25">
      <c r="A6" s="552" t="s">
        <v>0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4"/>
    </row>
    <row r="7" spans="1:16" ht="25.5" customHeight="1" x14ac:dyDescent="0.25">
      <c r="A7" s="542" t="s">
        <v>1</v>
      </c>
      <c r="B7" s="543"/>
      <c r="C7" s="543"/>
      <c r="D7" s="543"/>
      <c r="E7" s="544"/>
      <c r="F7" s="238" t="s">
        <v>2</v>
      </c>
      <c r="G7" s="239" t="s">
        <v>3</v>
      </c>
      <c r="H7" s="491" t="s">
        <v>4</v>
      </c>
      <c r="I7" s="492"/>
      <c r="J7" s="492"/>
      <c r="K7" s="493"/>
      <c r="L7" s="488" t="s">
        <v>5</v>
      </c>
      <c r="M7" s="489"/>
    </row>
    <row r="8" spans="1:16" ht="14.25" customHeight="1" x14ac:dyDescent="0.25">
      <c r="A8" s="549" t="s">
        <v>539</v>
      </c>
      <c r="B8" s="550"/>
      <c r="C8" s="550"/>
      <c r="D8" s="550"/>
      <c r="E8" s="551"/>
      <c r="F8" s="240">
        <v>7</v>
      </c>
      <c r="G8" s="531">
        <v>44865</v>
      </c>
      <c r="H8" s="532" t="s">
        <v>974</v>
      </c>
      <c r="I8" s="533"/>
      <c r="J8" s="533"/>
      <c r="K8" s="534"/>
      <c r="L8" s="513">
        <v>43865</v>
      </c>
      <c r="M8" s="514"/>
    </row>
    <row r="9" spans="1:16" ht="24.75" customHeight="1" x14ac:dyDescent="0.25">
      <c r="A9" s="542" t="s">
        <v>8</v>
      </c>
      <c r="B9" s="543"/>
      <c r="C9" s="543"/>
      <c r="D9" s="543"/>
      <c r="E9" s="544"/>
      <c r="F9" s="238" t="s">
        <v>9</v>
      </c>
      <c r="G9" s="239" t="s">
        <v>10</v>
      </c>
      <c r="H9" s="491" t="s">
        <v>11</v>
      </c>
      <c r="I9" s="492"/>
      <c r="J9" s="492"/>
      <c r="K9" s="493"/>
      <c r="L9" s="488" t="s">
        <v>12</v>
      </c>
      <c r="M9" s="489"/>
      <c r="N9" s="386"/>
    </row>
    <row r="10" spans="1:16" ht="15" customHeight="1" x14ac:dyDescent="0.25">
      <c r="A10" s="549" t="s">
        <v>541</v>
      </c>
      <c r="B10" s="550"/>
      <c r="C10" s="550"/>
      <c r="D10" s="550"/>
      <c r="E10" s="551"/>
      <c r="F10" s="241" t="s">
        <v>542</v>
      </c>
      <c r="G10" s="383">
        <v>43866</v>
      </c>
      <c r="H10" s="510">
        <v>44922</v>
      </c>
      <c r="I10" s="511"/>
      <c r="J10" s="511"/>
      <c r="K10" s="512"/>
      <c r="L10" s="513" t="s">
        <v>543</v>
      </c>
      <c r="M10" s="514"/>
    </row>
    <row r="11" spans="1:16" ht="13.5" customHeight="1" x14ac:dyDescent="0.25">
      <c r="A11" s="542" t="s">
        <v>16</v>
      </c>
      <c r="B11" s="543"/>
      <c r="C11" s="543"/>
      <c r="D11" s="543"/>
      <c r="E11" s="544"/>
      <c r="F11" s="555" t="s">
        <v>17</v>
      </c>
      <c r="G11" s="556"/>
      <c r="H11" s="556"/>
      <c r="I11" s="556"/>
      <c r="J11" s="556"/>
      <c r="K11" s="557"/>
      <c r="L11" s="488" t="s">
        <v>18</v>
      </c>
      <c r="M11" s="489"/>
    </row>
    <row r="12" spans="1:16" ht="27" customHeight="1" x14ac:dyDescent="0.25">
      <c r="A12" s="545" t="s">
        <v>544</v>
      </c>
      <c r="B12" s="546"/>
      <c r="C12" s="546"/>
      <c r="D12" s="546"/>
      <c r="E12" s="547"/>
      <c r="F12" s="558" t="s">
        <v>545</v>
      </c>
      <c r="G12" s="559"/>
      <c r="H12" s="559"/>
      <c r="I12" s="559"/>
      <c r="J12" s="559"/>
      <c r="K12" s="560"/>
      <c r="L12" s="482">
        <f>SUM(F16,F22,F26,F51,F86,F89,F101,F105,F119,F157,F194,F234,F241,F247,F255,F264)-0.01</f>
        <v>835483.47344300011</v>
      </c>
      <c r="M12" s="483"/>
      <c r="N12" s="386"/>
    </row>
    <row r="13" spans="1:16" ht="16.5" customHeight="1" x14ac:dyDescent="0.25">
      <c r="F13" s="509"/>
      <c r="G13" s="528" t="s">
        <v>21</v>
      </c>
      <c r="H13" s="529"/>
      <c r="I13" s="529"/>
      <c r="J13" s="529"/>
      <c r="K13" s="529"/>
      <c r="L13" s="482">
        <f>L268</f>
        <v>50194.878183950001</v>
      </c>
      <c r="M13" s="483"/>
      <c r="N13" s="279"/>
    </row>
    <row r="14" spans="1:16" ht="14.25" customHeight="1" x14ac:dyDescent="0.25">
      <c r="A14" s="530"/>
      <c r="B14" s="487"/>
      <c r="C14" s="484" t="s">
        <v>29</v>
      </c>
      <c r="D14" s="485"/>
      <c r="E14" s="485"/>
      <c r="F14" s="487"/>
      <c r="G14" s="479" t="s">
        <v>546</v>
      </c>
      <c r="H14" s="480"/>
      <c r="I14" s="481"/>
      <c r="J14" s="242"/>
      <c r="K14" s="484" t="s">
        <v>31</v>
      </c>
      <c r="L14" s="485"/>
      <c r="M14" s="486"/>
    </row>
    <row r="15" spans="1:16" ht="43.5" customHeight="1" x14ac:dyDescent="0.25">
      <c r="A15" s="294" t="s">
        <v>27</v>
      </c>
      <c r="B15" s="262" t="s">
        <v>28</v>
      </c>
      <c r="C15" s="256" t="s">
        <v>32</v>
      </c>
      <c r="D15" s="256" t="s">
        <v>33</v>
      </c>
      <c r="E15" s="257" t="s">
        <v>34</v>
      </c>
      <c r="F15" s="257" t="s">
        <v>37</v>
      </c>
      <c r="G15" s="259" t="s">
        <v>52</v>
      </c>
      <c r="H15" s="259" t="s">
        <v>53</v>
      </c>
      <c r="I15" s="259" t="s">
        <v>54</v>
      </c>
      <c r="J15" s="258" t="s">
        <v>40</v>
      </c>
      <c r="K15" s="257" t="s">
        <v>55</v>
      </c>
      <c r="L15" s="258" t="s">
        <v>53</v>
      </c>
      <c r="M15" s="260" t="s">
        <v>56</v>
      </c>
    </row>
    <row r="16" spans="1:16" s="361" customFormat="1" ht="18" x14ac:dyDescent="0.25">
      <c r="A16" s="362" t="s">
        <v>547</v>
      </c>
      <c r="B16" s="506" t="s">
        <v>57</v>
      </c>
      <c r="C16" s="507"/>
      <c r="D16" s="507"/>
      <c r="E16" s="508"/>
      <c r="F16" s="339">
        <f>SUM(F17:F20)</f>
        <v>12655.240407999998</v>
      </c>
      <c r="G16" s="340"/>
      <c r="H16" s="341"/>
      <c r="I16" s="342"/>
      <c r="J16" s="343"/>
      <c r="K16" s="363">
        <f>SUM(K17:K20)</f>
        <v>10730.522008</v>
      </c>
      <c r="L16" s="397">
        <f>SUM(L17:L20)</f>
        <v>0</v>
      </c>
      <c r="M16" s="364">
        <f>SUM(M17:M20)</f>
        <v>10730.522008</v>
      </c>
      <c r="N16" s="365"/>
    </row>
    <row r="17" spans="1:16" s="263" customFormat="1" ht="25.5" x14ac:dyDescent="0.25">
      <c r="A17" s="243" t="s">
        <v>58</v>
      </c>
      <c r="B17" s="244" t="s">
        <v>548</v>
      </c>
      <c r="C17" s="245" t="s">
        <v>189</v>
      </c>
      <c r="D17" s="246">
        <v>134</v>
      </c>
      <c r="E17" s="246">
        <v>34.572600000000001</v>
      </c>
      <c r="F17" s="250">
        <f>E17*D17</f>
        <v>4632.7284</v>
      </c>
      <c r="G17" s="322">
        <v>134</v>
      </c>
      <c r="H17" s="268"/>
      <c r="I17" s="321">
        <v>134</v>
      </c>
      <c r="J17" s="250"/>
      <c r="K17" s="327">
        <v>4632.6499999999996</v>
      </c>
      <c r="L17" s="328"/>
      <c r="M17" s="327">
        <f>K17</f>
        <v>4632.6499999999996</v>
      </c>
      <c r="N17" s="277"/>
    </row>
    <row r="18" spans="1:16" s="263" customFormat="1" ht="25.5" x14ac:dyDescent="0.25">
      <c r="A18" s="243" t="s">
        <v>62</v>
      </c>
      <c r="B18" s="248" t="s">
        <v>549</v>
      </c>
      <c r="C18" s="245" t="s">
        <v>152</v>
      </c>
      <c r="D18" s="246">
        <v>1</v>
      </c>
      <c r="E18" s="246">
        <v>1758.7</v>
      </c>
      <c r="F18" s="250">
        <f>E18*D18</f>
        <v>1758.7</v>
      </c>
      <c r="G18" s="265"/>
      <c r="H18" s="268"/>
      <c r="I18" s="250"/>
      <c r="J18" s="250"/>
      <c r="K18" s="247"/>
      <c r="L18" s="292"/>
      <c r="M18" s="292"/>
      <c r="N18" s="277"/>
    </row>
    <row r="19" spans="1:16" s="263" customFormat="1" x14ac:dyDescent="0.25">
      <c r="A19" s="243" t="s">
        <v>65</v>
      </c>
      <c r="B19" s="249" t="s">
        <v>550</v>
      </c>
      <c r="C19" s="245" t="s">
        <v>60</v>
      </c>
      <c r="D19" s="246">
        <v>10</v>
      </c>
      <c r="E19" s="246">
        <v>351.38099999999997</v>
      </c>
      <c r="F19" s="250">
        <f>E19*D19</f>
        <v>3513.8099999999995</v>
      </c>
      <c r="G19" s="322">
        <v>10</v>
      </c>
      <c r="H19" s="268"/>
      <c r="I19" s="321">
        <v>10</v>
      </c>
      <c r="J19" s="250"/>
      <c r="K19" s="247">
        <v>3347.87</v>
      </c>
      <c r="L19" s="291"/>
      <c r="M19" s="329">
        <f>3347.87</f>
        <v>3347.87</v>
      </c>
      <c r="N19" s="277"/>
    </row>
    <row r="20" spans="1:16" s="263" customFormat="1" ht="25.5" x14ac:dyDescent="0.25">
      <c r="A20" s="243" t="s">
        <v>68</v>
      </c>
      <c r="B20" s="308" t="s">
        <v>551</v>
      </c>
      <c r="C20" s="309" t="s">
        <v>60</v>
      </c>
      <c r="D20" s="310">
        <v>1200</v>
      </c>
      <c r="E20" s="311">
        <f>2.21*1.3126*0.79</f>
        <v>2.2916683400000002</v>
      </c>
      <c r="F20" s="250">
        <f>D20*E20</f>
        <v>2750.0020080000004</v>
      </c>
      <c r="G20" s="322">
        <v>1200</v>
      </c>
      <c r="H20" s="322"/>
      <c r="I20" s="321">
        <v>1200</v>
      </c>
      <c r="J20" s="250"/>
      <c r="K20" s="326">
        <f>E20*G20</f>
        <v>2750.0020080000004</v>
      </c>
      <c r="L20" s="327"/>
      <c r="M20" s="327">
        <f>K20+L20</f>
        <v>2750.0020080000004</v>
      </c>
      <c r="N20" s="277"/>
    </row>
    <row r="21" spans="1:16" s="263" customFormat="1" x14ac:dyDescent="0.25">
      <c r="A21" s="473"/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5"/>
      <c r="N21" s="277"/>
      <c r="O21" s="310"/>
    </row>
    <row r="22" spans="1:16" s="368" customFormat="1" ht="18" x14ac:dyDescent="0.25">
      <c r="A22" s="338" t="s">
        <v>552</v>
      </c>
      <c r="B22" s="503" t="s">
        <v>78</v>
      </c>
      <c r="C22" s="504"/>
      <c r="D22" s="504"/>
      <c r="E22" s="505"/>
      <c r="F22" s="339">
        <f>SUM(F23:F24)</f>
        <v>21241.503113799998</v>
      </c>
      <c r="G22" s="340"/>
      <c r="H22" s="341"/>
      <c r="I22" s="342"/>
      <c r="J22" s="343"/>
      <c r="K22" s="366">
        <f>SUM(K23:K24)</f>
        <v>6523.0265135999998</v>
      </c>
      <c r="L22" s="397">
        <f>SUM(L23:L24)</f>
        <v>0</v>
      </c>
      <c r="M22" s="364">
        <f>SUM(M23:M24)</f>
        <v>17104.837665999999</v>
      </c>
      <c r="N22" s="367"/>
    </row>
    <row r="23" spans="1:16" s="263" customFormat="1" ht="25.5" x14ac:dyDescent="0.25">
      <c r="A23" s="245" t="s">
        <v>79</v>
      </c>
      <c r="B23" s="244" t="s">
        <v>553</v>
      </c>
      <c r="C23" s="245" t="s">
        <v>81</v>
      </c>
      <c r="D23" s="246">
        <v>81.209999999999994</v>
      </c>
      <c r="E23" s="246">
        <v>52.514699999999998</v>
      </c>
      <c r="F23" s="250">
        <f>E23*D23</f>
        <v>4264.7187869999998</v>
      </c>
      <c r="G23" s="322">
        <f>24.99+21.79</f>
        <v>46.78</v>
      </c>
      <c r="H23" s="322"/>
      <c r="I23" s="321">
        <v>46.78</v>
      </c>
      <c r="J23" s="250"/>
      <c r="K23" s="327">
        <f>E23*G23</f>
        <v>2456.6376660000001</v>
      </c>
      <c r="L23" s="327"/>
      <c r="M23" s="327">
        <f>E23*I23</f>
        <v>2456.6376660000001</v>
      </c>
      <c r="N23" s="277"/>
      <c r="O23" s="310"/>
    </row>
    <row r="24" spans="1:16" s="263" customFormat="1" ht="25.5" x14ac:dyDescent="0.25">
      <c r="A24" s="307" t="s">
        <v>83</v>
      </c>
      <c r="B24" s="315" t="s">
        <v>554</v>
      </c>
      <c r="C24" s="309" t="s">
        <v>81</v>
      </c>
      <c r="D24" s="246">
        <v>501.74</v>
      </c>
      <c r="E24" s="246">
        <v>33.835819999999998</v>
      </c>
      <c r="F24" s="250">
        <f>D24*E24</f>
        <v>16976.7843268</v>
      </c>
      <c r="G24" s="322">
        <v>120.18</v>
      </c>
      <c r="H24" s="322"/>
      <c r="I24" s="321">
        <f>G24+312.74</f>
        <v>432.92</v>
      </c>
      <c r="J24" s="250"/>
      <c r="K24" s="327">
        <f>E24*G24</f>
        <v>4066.3888476000002</v>
      </c>
      <c r="L24" s="327"/>
      <c r="M24" s="327">
        <v>14648.2</v>
      </c>
      <c r="N24" s="277"/>
      <c r="O24" s="378"/>
      <c r="P24" s="293"/>
    </row>
    <row r="25" spans="1:16" s="263" customFormat="1" x14ac:dyDescent="0.25">
      <c r="A25" s="476"/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8"/>
      <c r="N25" s="277"/>
    </row>
    <row r="26" spans="1:16" s="361" customFormat="1" ht="18" x14ac:dyDescent="0.25">
      <c r="A26" s="338" t="s">
        <v>555</v>
      </c>
      <c r="B26" s="503" t="s">
        <v>556</v>
      </c>
      <c r="C26" s="504"/>
      <c r="D26" s="504"/>
      <c r="E26" s="505"/>
      <c r="F26" s="339">
        <f>SUM(F27,F42,F44)</f>
        <v>154321.84075190002</v>
      </c>
      <c r="G26" s="340"/>
      <c r="H26" s="341"/>
      <c r="I26" s="342"/>
      <c r="J26" s="343"/>
      <c r="K26" s="369">
        <f>K27+K42+K44</f>
        <v>110580.87231810001</v>
      </c>
      <c r="L26" s="397">
        <f>L27+L42+L44</f>
        <v>0</v>
      </c>
      <c r="M26" s="370">
        <f>SUM(M27,M42,M44)</f>
        <v>110580.87231810001</v>
      </c>
      <c r="N26" s="367"/>
      <c r="O26" s="371"/>
    </row>
    <row r="27" spans="1:16" s="354" customFormat="1" ht="15.75" x14ac:dyDescent="0.25">
      <c r="A27" s="350" t="s">
        <v>95</v>
      </c>
      <c r="B27" s="497" t="s">
        <v>557</v>
      </c>
      <c r="C27" s="498"/>
      <c r="D27" s="498"/>
      <c r="E27" s="499"/>
      <c r="F27" s="351">
        <f>SUM(F28:F41)-0.01</f>
        <v>63766.269369499998</v>
      </c>
      <c r="G27" s="347"/>
      <c r="H27" s="348"/>
      <c r="I27" s="349"/>
      <c r="J27" s="346"/>
      <c r="K27" s="352">
        <f>SUM(K28:K41)</f>
        <v>35914.792495000002</v>
      </c>
      <c r="L27" s="352">
        <f>SUM(L28:L41)</f>
        <v>0</v>
      </c>
      <c r="M27" s="353">
        <f>SUM(M28:M41)</f>
        <v>35914.792495000002</v>
      </c>
      <c r="N27" s="390"/>
    </row>
    <row r="28" spans="1:16" x14ac:dyDescent="0.25">
      <c r="A28" s="245" t="s">
        <v>97</v>
      </c>
      <c r="B28" s="248" t="s">
        <v>558</v>
      </c>
      <c r="C28" s="245" t="s">
        <v>81</v>
      </c>
      <c r="D28" s="246">
        <v>67.27</v>
      </c>
      <c r="E28" s="246">
        <v>63.211100000000002</v>
      </c>
      <c r="F28" s="250">
        <f t="shared" ref="F28:F49" si="0">E28*D28</f>
        <v>4252.2106969999995</v>
      </c>
      <c r="G28" s="322">
        <v>26.04</v>
      </c>
      <c r="H28" s="323"/>
      <c r="I28" s="321">
        <v>26.04</v>
      </c>
      <c r="J28" s="250"/>
      <c r="K28" s="247">
        <f>60.03*26.04</f>
        <v>1563.1812</v>
      </c>
      <c r="L28" s="291"/>
      <c r="M28" s="332">
        <f>SUM(K28:L28)</f>
        <v>1563.1812</v>
      </c>
      <c r="N28" s="277"/>
      <c r="O28" s="278"/>
    </row>
    <row r="29" spans="1:16" s="263" customFormat="1" x14ac:dyDescent="0.25">
      <c r="A29" s="245" t="s">
        <v>100</v>
      </c>
      <c r="B29" s="248" t="s">
        <v>559</v>
      </c>
      <c r="C29" s="245" t="s">
        <v>60</v>
      </c>
      <c r="D29" s="246">
        <v>43.4</v>
      </c>
      <c r="E29" s="246">
        <v>1.5802</v>
      </c>
      <c r="F29" s="250">
        <f t="shared" si="0"/>
        <v>68.580680000000001</v>
      </c>
      <c r="G29" s="322">
        <v>43.4</v>
      </c>
      <c r="H29" s="323"/>
      <c r="I29" s="321">
        <v>43.4</v>
      </c>
      <c r="J29" s="250"/>
      <c r="K29" s="247">
        <v>54.12</v>
      </c>
      <c r="L29" s="291"/>
      <c r="M29" s="332">
        <f t="shared" ref="M29:M41" si="1">SUM(K29:L29)</f>
        <v>54.12</v>
      </c>
      <c r="N29" s="277"/>
    </row>
    <row r="30" spans="1:16" s="263" customFormat="1" ht="25.5" x14ac:dyDescent="0.25">
      <c r="A30" s="245" t="s">
        <v>103</v>
      </c>
      <c r="B30" s="248" t="s">
        <v>560</v>
      </c>
      <c r="C30" s="245" t="s">
        <v>81</v>
      </c>
      <c r="D30" s="246">
        <v>2.17</v>
      </c>
      <c r="E30" s="246">
        <v>497.23050000000001</v>
      </c>
      <c r="F30" s="250">
        <f t="shared" si="0"/>
        <v>1078.9901849999999</v>
      </c>
      <c r="G30" s="322">
        <v>2.17</v>
      </c>
      <c r="H30" s="323"/>
      <c r="I30" s="321">
        <v>2.17</v>
      </c>
      <c r="J30" s="250"/>
      <c r="K30" s="247">
        <f>E30*G30</f>
        <v>1078.9901849999999</v>
      </c>
      <c r="L30" s="291"/>
      <c r="M30" s="332">
        <f t="shared" si="1"/>
        <v>1078.9901849999999</v>
      </c>
      <c r="N30" s="277"/>
    </row>
    <row r="31" spans="1:16" s="263" customFormat="1" ht="25.5" x14ac:dyDescent="0.25">
      <c r="A31" s="245" t="s">
        <v>561</v>
      </c>
      <c r="B31" s="248" t="s">
        <v>562</v>
      </c>
      <c r="C31" s="245" t="s">
        <v>60</v>
      </c>
      <c r="D31" s="246">
        <v>167.25</v>
      </c>
      <c r="E31" s="246">
        <v>113.52204999999999</v>
      </c>
      <c r="F31" s="250">
        <f t="shared" si="0"/>
        <v>18986.562862499999</v>
      </c>
      <c r="G31" s="322">
        <v>128.49</v>
      </c>
      <c r="H31" s="322"/>
      <c r="I31" s="321">
        <v>128.49</v>
      </c>
      <c r="J31" s="250"/>
      <c r="K31" s="247">
        <f>62.85*89.99+63.56*113.52+236.13</f>
        <v>13107.332699999999</v>
      </c>
      <c r="L31" s="329"/>
      <c r="M31" s="332">
        <f>SUM(K31:L31)</f>
        <v>13107.332699999999</v>
      </c>
      <c r="N31" s="277"/>
      <c r="O31" s="379"/>
    </row>
    <row r="32" spans="1:16" s="263" customFormat="1" ht="25.5" x14ac:dyDescent="0.25">
      <c r="A32" s="245" t="s">
        <v>563</v>
      </c>
      <c r="B32" s="248" t="s">
        <v>564</v>
      </c>
      <c r="C32" s="245" t="s">
        <v>565</v>
      </c>
      <c r="D32" s="246">
        <v>127.6</v>
      </c>
      <c r="E32" s="246">
        <v>20.500599999999999</v>
      </c>
      <c r="F32" s="250">
        <f t="shared" si="0"/>
        <v>2615.8765599999997</v>
      </c>
      <c r="G32" s="322">
        <v>127.6</v>
      </c>
      <c r="H32" s="323"/>
      <c r="I32" s="321">
        <v>127.6</v>
      </c>
      <c r="J32" s="250"/>
      <c r="K32" s="247">
        <v>1415.59</v>
      </c>
      <c r="L32" s="291"/>
      <c r="M32" s="332">
        <f t="shared" si="1"/>
        <v>1415.59</v>
      </c>
      <c r="N32" s="277"/>
    </row>
    <row r="33" spans="1:15" s="263" customFormat="1" ht="25.5" x14ac:dyDescent="0.25">
      <c r="A33" s="245" t="s">
        <v>566</v>
      </c>
      <c r="B33" s="248" t="s">
        <v>567</v>
      </c>
      <c r="C33" s="245" t="s">
        <v>565</v>
      </c>
      <c r="D33" s="246">
        <v>285.8</v>
      </c>
      <c r="E33" s="246">
        <v>20.092130000000001</v>
      </c>
      <c r="F33" s="250">
        <f t="shared" si="0"/>
        <v>5742.3307540000005</v>
      </c>
      <c r="G33" s="322">
        <v>285.8</v>
      </c>
      <c r="H33" s="323"/>
      <c r="I33" s="321">
        <v>285.8</v>
      </c>
      <c r="J33" s="250"/>
      <c r="K33" s="247">
        <v>2780.48</v>
      </c>
      <c r="L33" s="291"/>
      <c r="M33" s="332">
        <f t="shared" si="1"/>
        <v>2780.48</v>
      </c>
      <c r="N33" s="277"/>
    </row>
    <row r="34" spans="1:15" s="263" customFormat="1" ht="25.5" x14ac:dyDescent="0.25">
      <c r="A34" s="245" t="s">
        <v>568</v>
      </c>
      <c r="B34" s="248" t="s">
        <v>569</v>
      </c>
      <c r="C34" s="245" t="s">
        <v>565</v>
      </c>
      <c r="D34" s="246">
        <v>149.30000000000001</v>
      </c>
      <c r="E34" s="246">
        <v>19.393350000000002</v>
      </c>
      <c r="F34" s="250">
        <f t="shared" si="0"/>
        <v>2895.4271550000003</v>
      </c>
      <c r="G34" s="322">
        <v>149.30000000000001</v>
      </c>
      <c r="H34" s="323"/>
      <c r="I34" s="321">
        <v>149.30000000000001</v>
      </c>
      <c r="J34" s="250"/>
      <c r="K34" s="247">
        <v>1415.59</v>
      </c>
      <c r="L34" s="291"/>
      <c r="M34" s="332">
        <f t="shared" si="1"/>
        <v>1415.59</v>
      </c>
      <c r="N34" s="277"/>
    </row>
    <row r="35" spans="1:15" s="263" customFormat="1" ht="25.5" x14ac:dyDescent="0.25">
      <c r="A35" s="245" t="s">
        <v>570</v>
      </c>
      <c r="B35" s="248" t="s">
        <v>571</v>
      </c>
      <c r="C35" s="245" t="s">
        <v>565</v>
      </c>
      <c r="D35" s="246">
        <v>396.5</v>
      </c>
      <c r="E35" s="246">
        <v>17.608830000000001</v>
      </c>
      <c r="F35" s="250">
        <f t="shared" si="0"/>
        <v>6981.9010950000002</v>
      </c>
      <c r="G35" s="322">
        <v>396.5</v>
      </c>
      <c r="H35" s="323"/>
      <c r="I35" s="321">
        <v>396.5</v>
      </c>
      <c r="J35" s="250"/>
      <c r="K35" s="247">
        <v>3081.7</v>
      </c>
      <c r="L35" s="291"/>
      <c r="M35" s="332">
        <f t="shared" si="1"/>
        <v>3081.7</v>
      </c>
      <c r="N35" s="277"/>
    </row>
    <row r="36" spans="1:15" s="263" customFormat="1" ht="25.5" x14ac:dyDescent="0.25">
      <c r="A36" s="245" t="s">
        <v>572</v>
      </c>
      <c r="B36" s="248" t="s">
        <v>573</v>
      </c>
      <c r="C36" s="245" t="s">
        <v>565</v>
      </c>
      <c r="D36" s="246">
        <v>187.4</v>
      </c>
      <c r="E36" s="246">
        <v>15.03955</v>
      </c>
      <c r="F36" s="250">
        <f t="shared" si="0"/>
        <v>2818.41167</v>
      </c>
      <c r="G36" s="322">
        <v>187.4</v>
      </c>
      <c r="H36" s="323"/>
      <c r="I36" s="321">
        <v>187.4</v>
      </c>
      <c r="J36" s="250"/>
      <c r="K36" s="247">
        <v>1307.44</v>
      </c>
      <c r="L36" s="291"/>
      <c r="M36" s="332">
        <f t="shared" si="1"/>
        <v>1307.44</v>
      </c>
      <c r="N36" s="277"/>
    </row>
    <row r="37" spans="1:15" s="263" customFormat="1" ht="25.5" x14ac:dyDescent="0.25">
      <c r="A37" s="245" t="s">
        <v>574</v>
      </c>
      <c r="B37" s="248" t="s">
        <v>575</v>
      </c>
      <c r="C37" s="245" t="s">
        <v>565</v>
      </c>
      <c r="D37" s="246">
        <v>298.3</v>
      </c>
      <c r="E37" s="246">
        <v>14.502000000000001</v>
      </c>
      <c r="F37" s="250">
        <f t="shared" si="0"/>
        <v>4325.9466000000002</v>
      </c>
      <c r="G37" s="322">
        <v>298.3</v>
      </c>
      <c r="H37" s="323"/>
      <c r="I37" s="321">
        <v>298.3</v>
      </c>
      <c r="J37" s="250"/>
      <c r="K37" s="247">
        <v>1943.28</v>
      </c>
      <c r="L37" s="291"/>
      <c r="M37" s="332">
        <f t="shared" si="1"/>
        <v>1943.28</v>
      </c>
      <c r="N37" s="277"/>
    </row>
    <row r="38" spans="1:15" s="263" customFormat="1" ht="25.5" x14ac:dyDescent="0.25">
      <c r="A38" s="245" t="s">
        <v>576</v>
      </c>
      <c r="B38" s="248" t="s">
        <v>577</v>
      </c>
      <c r="C38" s="245" t="s">
        <v>565</v>
      </c>
      <c r="D38" s="246">
        <v>170.9</v>
      </c>
      <c r="E38" s="246">
        <v>16.458549999999999</v>
      </c>
      <c r="F38" s="250">
        <f t="shared" si="0"/>
        <v>2812.7661949999997</v>
      </c>
      <c r="G38" s="322">
        <v>170.9</v>
      </c>
      <c r="H38" s="323"/>
      <c r="I38" s="321">
        <v>170.9</v>
      </c>
      <c r="J38" s="250"/>
      <c r="K38" s="247">
        <v>1028.82</v>
      </c>
      <c r="L38" s="291"/>
      <c r="M38" s="332">
        <f t="shared" si="1"/>
        <v>1028.82</v>
      </c>
      <c r="N38" s="277"/>
    </row>
    <row r="39" spans="1:15" s="263" customFormat="1" ht="25.5" x14ac:dyDescent="0.25">
      <c r="A39" s="245" t="s">
        <v>578</v>
      </c>
      <c r="B39" s="248" t="s">
        <v>579</v>
      </c>
      <c r="C39" s="245" t="s">
        <v>81</v>
      </c>
      <c r="D39" s="246">
        <v>17.05</v>
      </c>
      <c r="E39" s="246">
        <v>396.33850000000001</v>
      </c>
      <c r="F39" s="250">
        <f t="shared" si="0"/>
        <v>6757.5714250000001</v>
      </c>
      <c r="G39" s="322">
        <f>13.51+0.13</f>
        <v>13.64</v>
      </c>
      <c r="H39" s="324"/>
      <c r="I39" s="321">
        <f>G39+H39</f>
        <v>13.64</v>
      </c>
      <c r="J39" s="250"/>
      <c r="K39" s="247">
        <f>10.59*327.95+2.92*396.34+51.52</f>
        <v>4681.8233</v>
      </c>
      <c r="L39" s="329"/>
      <c r="M39" s="332">
        <f t="shared" si="1"/>
        <v>4681.8233</v>
      </c>
      <c r="N39" s="332"/>
      <c r="O39" s="392"/>
    </row>
    <row r="40" spans="1:15" s="263" customFormat="1" ht="25.5" x14ac:dyDescent="0.25">
      <c r="A40" s="245" t="s">
        <v>580</v>
      </c>
      <c r="B40" s="248" t="s">
        <v>581</v>
      </c>
      <c r="C40" s="245" t="s">
        <v>81</v>
      </c>
      <c r="D40" s="246">
        <v>17.05</v>
      </c>
      <c r="E40" s="246">
        <v>153.95349999999999</v>
      </c>
      <c r="F40" s="250">
        <f t="shared" si="0"/>
        <v>2624.9071749999998</v>
      </c>
      <c r="G40" s="322">
        <f>13.51+0.13</f>
        <v>13.64</v>
      </c>
      <c r="H40" s="324"/>
      <c r="I40" s="321">
        <f>G40+H40</f>
        <v>13.64</v>
      </c>
      <c r="J40" s="250"/>
      <c r="K40" s="247">
        <f>10.59*135.19+2.92*153.95+20.01</f>
        <v>1901.2060999999999</v>
      </c>
      <c r="L40" s="329"/>
      <c r="M40" s="332">
        <f>SUM(K40:L40)</f>
        <v>1901.2060999999999</v>
      </c>
      <c r="N40" s="332"/>
      <c r="O40" s="393"/>
    </row>
    <row r="41" spans="1:15" s="263" customFormat="1" x14ac:dyDescent="0.25">
      <c r="A41" s="245" t="s">
        <v>582</v>
      </c>
      <c r="B41" s="248" t="s">
        <v>583</v>
      </c>
      <c r="C41" s="245" t="s">
        <v>81</v>
      </c>
      <c r="D41" s="246">
        <v>50.22</v>
      </c>
      <c r="E41" s="246">
        <v>35.937800000000003</v>
      </c>
      <c r="F41" s="250">
        <f t="shared" si="0"/>
        <v>1804.7963160000002</v>
      </c>
      <c r="G41" s="322">
        <v>15.45</v>
      </c>
      <c r="H41" s="322"/>
      <c r="I41" s="321">
        <v>15.45</v>
      </c>
      <c r="J41" s="250"/>
      <c r="K41" s="247">
        <f>E41*G41</f>
        <v>555.23901000000001</v>
      </c>
      <c r="L41" s="247"/>
      <c r="M41" s="332">
        <f t="shared" si="1"/>
        <v>555.23901000000001</v>
      </c>
      <c r="N41" s="277"/>
    </row>
    <row r="42" spans="1:15" s="418" customFormat="1" ht="18.75" x14ac:dyDescent="0.25">
      <c r="A42" s="410" t="s">
        <v>106</v>
      </c>
      <c r="B42" s="494" t="s">
        <v>584</v>
      </c>
      <c r="C42" s="495"/>
      <c r="D42" s="495"/>
      <c r="E42" s="496"/>
      <c r="F42" s="402">
        <f>F43</f>
        <v>56360.321394000006</v>
      </c>
      <c r="G42" s="415"/>
      <c r="H42" s="416"/>
      <c r="I42" s="417"/>
      <c r="J42" s="402"/>
      <c r="K42" s="408">
        <f>K43</f>
        <v>49996.586029000006</v>
      </c>
      <c r="L42" s="408">
        <f>L43</f>
        <v>0</v>
      </c>
      <c r="M42" s="414">
        <f>M43</f>
        <v>49996.586029000006</v>
      </c>
      <c r="N42" s="360"/>
    </row>
    <row r="43" spans="1:15" s="263" customFormat="1" ht="25.5" x14ac:dyDescent="0.25">
      <c r="A43" s="245" t="s">
        <v>108</v>
      </c>
      <c r="B43" s="244" t="s">
        <v>585</v>
      </c>
      <c r="C43" s="245" t="s">
        <v>81</v>
      </c>
      <c r="D43" s="246">
        <v>153.66</v>
      </c>
      <c r="E43" s="246">
        <v>366.78590000000003</v>
      </c>
      <c r="F43" s="250">
        <f t="shared" si="0"/>
        <v>56360.321394000006</v>
      </c>
      <c r="G43" s="322">
        <v>136.31</v>
      </c>
      <c r="H43" s="324"/>
      <c r="I43" s="325">
        <f>G43+H43</f>
        <v>136.31</v>
      </c>
      <c r="J43" s="250"/>
      <c r="K43" s="247">
        <f>E43*G43</f>
        <v>49996.586029000006</v>
      </c>
      <c r="L43" s="247"/>
      <c r="M43" s="332">
        <f>K43+L43</f>
        <v>49996.586029000006</v>
      </c>
      <c r="N43" s="277"/>
      <c r="O43" s="380"/>
    </row>
    <row r="44" spans="1:15" s="409" customFormat="1" ht="18.75" x14ac:dyDescent="0.25">
      <c r="A44" s="410" t="s">
        <v>586</v>
      </c>
      <c r="B44" s="494" t="s">
        <v>587</v>
      </c>
      <c r="C44" s="495"/>
      <c r="D44" s="495"/>
      <c r="E44" s="496"/>
      <c r="F44" s="402">
        <f>SUM(F45:F49)</f>
        <v>34195.249988400006</v>
      </c>
      <c r="G44" s="411"/>
      <c r="H44" s="412"/>
      <c r="I44" s="413"/>
      <c r="J44" s="402"/>
      <c r="K44" s="408">
        <f>SUM(K45:K49)</f>
        <v>24669.493794100003</v>
      </c>
      <c r="L44" s="408">
        <f>SUM(L45:L49)</f>
        <v>0</v>
      </c>
      <c r="M44" s="414">
        <f>SUM(M45:M49)</f>
        <v>24669.493794100003</v>
      </c>
      <c r="N44" s="360"/>
    </row>
    <row r="45" spans="1:15" s="263" customFormat="1" ht="25.5" x14ac:dyDescent="0.25">
      <c r="A45" s="245" t="s">
        <v>588</v>
      </c>
      <c r="B45" s="248" t="s">
        <v>589</v>
      </c>
      <c r="C45" s="245" t="s">
        <v>60</v>
      </c>
      <c r="D45" s="246">
        <v>233.62</v>
      </c>
      <c r="E45" s="246">
        <v>65.017150000000001</v>
      </c>
      <c r="F45" s="250">
        <f t="shared" si="0"/>
        <v>15189.306583000001</v>
      </c>
      <c r="G45" s="322">
        <v>150.57</v>
      </c>
      <c r="H45" s="324"/>
      <c r="I45" s="325">
        <f>G45+H45</f>
        <v>150.57</v>
      </c>
      <c r="J45" s="250"/>
      <c r="K45" s="247">
        <f>E45*G45</f>
        <v>9789.6322755000001</v>
      </c>
      <c r="L45" s="330"/>
      <c r="M45" s="333">
        <f>K45+L45</f>
        <v>9789.6322755000001</v>
      </c>
      <c r="N45" s="277"/>
      <c r="O45" s="380"/>
    </row>
    <row r="46" spans="1:15" s="263" customFormat="1" ht="38.25" x14ac:dyDescent="0.25">
      <c r="A46" s="245" t="s">
        <v>590</v>
      </c>
      <c r="B46" s="248" t="s">
        <v>591</v>
      </c>
      <c r="C46" s="245" t="s">
        <v>565</v>
      </c>
      <c r="D46" s="246">
        <v>275.86</v>
      </c>
      <c r="E46" s="246">
        <v>20.49</v>
      </c>
      <c r="F46" s="250">
        <f>E46*D46-0.03</f>
        <v>5652.3414000000002</v>
      </c>
      <c r="G46" s="322">
        <v>231.22</v>
      </c>
      <c r="H46" s="324"/>
      <c r="I46" s="325">
        <f>G46+H46</f>
        <v>231.22</v>
      </c>
      <c r="J46" s="250"/>
      <c r="K46" s="247">
        <f>E46*G46</f>
        <v>4737.6977999999999</v>
      </c>
      <c r="L46" s="331"/>
      <c r="M46" s="334">
        <f>K46+L46</f>
        <v>4737.6977999999999</v>
      </c>
      <c r="N46" s="277"/>
      <c r="O46" s="380"/>
    </row>
    <row r="47" spans="1:15" s="263" customFormat="1" ht="38.25" x14ac:dyDescent="0.25">
      <c r="A47" s="245" t="s">
        <v>592</v>
      </c>
      <c r="B47" s="248" t="s">
        <v>593</v>
      </c>
      <c r="C47" s="245" t="s">
        <v>565</v>
      </c>
      <c r="D47" s="246">
        <v>372.88</v>
      </c>
      <c r="E47" s="246">
        <v>18.501080000000002</v>
      </c>
      <c r="F47" s="250">
        <f t="shared" si="0"/>
        <v>6898.6827104000004</v>
      </c>
      <c r="G47" s="322">
        <v>312.92</v>
      </c>
      <c r="H47" s="324"/>
      <c r="I47" s="325">
        <f>G47+H47</f>
        <v>312.92</v>
      </c>
      <c r="J47" s="250"/>
      <c r="K47" s="247">
        <f>E47*G47</f>
        <v>5789.3579536000007</v>
      </c>
      <c r="L47" s="327"/>
      <c r="M47" s="332">
        <f>K47+L47</f>
        <v>5789.3579536000007</v>
      </c>
      <c r="N47" s="277"/>
      <c r="O47" s="380"/>
    </row>
    <row r="48" spans="1:15" s="263" customFormat="1" ht="25.5" x14ac:dyDescent="0.25">
      <c r="A48" s="245" t="s">
        <v>594</v>
      </c>
      <c r="B48" s="248" t="s">
        <v>595</v>
      </c>
      <c r="C48" s="245" t="s">
        <v>81</v>
      </c>
      <c r="D48" s="246">
        <v>11.73</v>
      </c>
      <c r="E48" s="246">
        <v>396.33850000000001</v>
      </c>
      <c r="F48" s="250">
        <f t="shared" si="0"/>
        <v>4649.0506050000004</v>
      </c>
      <c r="G48" s="322">
        <v>7.91</v>
      </c>
      <c r="H48" s="324"/>
      <c r="I48" s="325">
        <f>G48+H48</f>
        <v>7.91</v>
      </c>
      <c r="J48" s="250"/>
      <c r="K48" s="247">
        <f>E48*G48</f>
        <v>3135.0375349999999</v>
      </c>
      <c r="L48" s="327"/>
      <c r="M48" s="332">
        <f>K48+L48</f>
        <v>3135.0375349999999</v>
      </c>
      <c r="N48" s="277"/>
      <c r="O48" s="380"/>
    </row>
    <row r="49" spans="1:15" s="263" customFormat="1" ht="25.5" x14ac:dyDescent="0.25">
      <c r="A49" s="245" t="s">
        <v>596</v>
      </c>
      <c r="B49" s="244" t="s">
        <v>597</v>
      </c>
      <c r="C49" s="245" t="s">
        <v>81</v>
      </c>
      <c r="D49" s="246">
        <v>11.73</v>
      </c>
      <c r="E49" s="246">
        <v>153.953</v>
      </c>
      <c r="F49" s="250">
        <f t="shared" si="0"/>
        <v>1805.86869</v>
      </c>
      <c r="G49" s="322">
        <v>7.91</v>
      </c>
      <c r="H49" s="324"/>
      <c r="I49" s="325">
        <f>G49+H49</f>
        <v>7.91</v>
      </c>
      <c r="J49" s="250"/>
      <c r="K49" s="247">
        <f>E49*G49</f>
        <v>1217.7682300000001</v>
      </c>
      <c r="L49" s="330"/>
      <c r="M49" s="333">
        <f>K49+L49</f>
        <v>1217.7682300000001</v>
      </c>
      <c r="N49" s="277"/>
      <c r="O49" s="380"/>
    </row>
    <row r="50" spans="1:15" s="263" customFormat="1" x14ac:dyDescent="0.25">
      <c r="A50" s="476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8"/>
      <c r="N50" s="277"/>
    </row>
    <row r="51" spans="1:15" s="368" customFormat="1" ht="18" x14ac:dyDescent="0.25">
      <c r="A51" s="338" t="s">
        <v>598</v>
      </c>
      <c r="B51" s="503" t="s">
        <v>113</v>
      </c>
      <c r="C51" s="504"/>
      <c r="D51" s="504"/>
      <c r="E51" s="505"/>
      <c r="F51" s="339">
        <f>SUM(F52,F61,F72,F80)+0.01</f>
        <v>157392.00127750004</v>
      </c>
      <c r="G51" s="340"/>
      <c r="H51" s="341"/>
      <c r="I51" s="342"/>
      <c r="J51" s="343"/>
      <c r="K51" s="344">
        <f>K52+K61+K72+K80</f>
        <v>89804.4645685</v>
      </c>
      <c r="L51" s="344">
        <f>L52+L61+L72</f>
        <v>37068.696177099999</v>
      </c>
      <c r="M51" s="344">
        <f>M52+M61+M72+M80</f>
        <v>128183.21461360002</v>
      </c>
      <c r="N51" s="360"/>
    </row>
    <row r="52" spans="1:15" s="418" customFormat="1" ht="38.25" customHeight="1" x14ac:dyDescent="0.25">
      <c r="A52" s="410" t="s">
        <v>114</v>
      </c>
      <c r="B52" s="494" t="s">
        <v>599</v>
      </c>
      <c r="C52" s="495"/>
      <c r="D52" s="495"/>
      <c r="E52" s="496"/>
      <c r="F52" s="402">
        <f>SUM(F53:F60)+0.01</f>
        <v>45462.599783500009</v>
      </c>
      <c r="G52" s="415"/>
      <c r="H52" s="416"/>
      <c r="I52" s="417"/>
      <c r="J52" s="402"/>
      <c r="K52" s="408">
        <f>SUM(K53:K60)</f>
        <v>35659.715296499999</v>
      </c>
      <c r="L52" s="408">
        <f>SUM(L53:L60)</f>
        <v>7529.6650745999996</v>
      </c>
      <c r="M52" s="408">
        <f>SUM(M53:M60)</f>
        <v>43189.377499100003</v>
      </c>
      <c r="N52" s="367"/>
    </row>
    <row r="53" spans="1:15" ht="51" x14ac:dyDescent="0.25">
      <c r="A53" s="245" t="s">
        <v>116</v>
      </c>
      <c r="B53" s="244" t="s">
        <v>600</v>
      </c>
      <c r="C53" s="245" t="s">
        <v>60</v>
      </c>
      <c r="D53" s="246">
        <v>257.8</v>
      </c>
      <c r="E53" s="246">
        <v>35.034880000000001</v>
      </c>
      <c r="F53" s="250">
        <f t="shared" ref="F53:F84" si="2">E53*D53</f>
        <v>9031.992064</v>
      </c>
      <c r="G53" s="320">
        <f>'[1]Memoria de Calculo'!$M$303+29.4</f>
        <v>205.8</v>
      </c>
      <c r="H53" s="324">
        <v>40.869999999999997</v>
      </c>
      <c r="I53" s="320">
        <f>205.8+40.87</f>
        <v>246.67000000000002</v>
      </c>
      <c r="J53" s="250"/>
      <c r="K53" s="247">
        <f>E53*G53</f>
        <v>7210.1783040000009</v>
      </c>
      <c r="L53" s="247">
        <f>E53*H53</f>
        <v>1431.8755455999999</v>
      </c>
      <c r="M53" s="247">
        <f>E53*I53</f>
        <v>8642.0538496000008</v>
      </c>
      <c r="N53" s="277"/>
      <c r="O53" s="535"/>
    </row>
    <row r="54" spans="1:15" ht="38.25" x14ac:dyDescent="0.25">
      <c r="A54" s="245" t="s">
        <v>118</v>
      </c>
      <c r="B54" s="244" t="s">
        <v>601</v>
      </c>
      <c r="C54" s="245" t="s">
        <v>565</v>
      </c>
      <c r="D54" s="246">
        <v>295.43</v>
      </c>
      <c r="E54" s="246">
        <v>20.489850000000001</v>
      </c>
      <c r="F54" s="250">
        <f t="shared" si="2"/>
        <v>6053.3163855000003</v>
      </c>
      <c r="G54" s="320">
        <f>'[1]Memoria de Calculo'!$M$322+30.44</f>
        <v>257.3</v>
      </c>
      <c r="H54" s="324">
        <v>38.130000000000003</v>
      </c>
      <c r="I54" s="320">
        <f>257.3+38.13</f>
        <v>295.43</v>
      </c>
      <c r="J54" s="250"/>
      <c r="K54" s="247">
        <f>E54*G54</f>
        <v>5272.0384050000002</v>
      </c>
      <c r="L54" s="247">
        <f>E54*H54</f>
        <v>781.27798050000013</v>
      </c>
      <c r="M54" s="247">
        <f t="shared" ref="M54:M60" si="3">E54*I54</f>
        <v>6053.3163855000003</v>
      </c>
      <c r="N54" s="277"/>
      <c r="O54" s="535"/>
    </row>
    <row r="55" spans="1:15" s="263" customFormat="1" ht="38.25" x14ac:dyDescent="0.25">
      <c r="A55" s="245" t="s">
        <v>602</v>
      </c>
      <c r="B55" s="244" t="s">
        <v>603</v>
      </c>
      <c r="C55" s="245" t="s">
        <v>565</v>
      </c>
      <c r="D55" s="246">
        <v>567.63</v>
      </c>
      <c r="E55" s="246">
        <v>17.565799999999999</v>
      </c>
      <c r="F55" s="250">
        <f t="shared" si="2"/>
        <v>9970.8750540000001</v>
      </c>
      <c r="G55" s="320">
        <f>'[1]Memoria de Calculo'!$M$334</f>
        <v>364.95</v>
      </c>
      <c r="H55" s="324">
        <v>173.77</v>
      </c>
      <c r="I55" s="320">
        <f>364.95+173.77</f>
        <v>538.72</v>
      </c>
      <c r="J55" s="250"/>
      <c r="K55" s="247">
        <f>E55*G55</f>
        <v>6410.6387099999993</v>
      </c>
      <c r="L55" s="247">
        <f>E55*H55</f>
        <v>3052.4090660000002</v>
      </c>
      <c r="M55" s="247">
        <f t="shared" si="3"/>
        <v>9463.0477759999994</v>
      </c>
      <c r="N55" s="277"/>
      <c r="O55" s="380"/>
    </row>
    <row r="56" spans="1:15" ht="38.25" x14ac:dyDescent="0.25">
      <c r="A56" s="245" t="s">
        <v>604</v>
      </c>
      <c r="B56" s="244" t="s">
        <v>605</v>
      </c>
      <c r="C56" s="245" t="s">
        <v>565</v>
      </c>
      <c r="D56" s="246">
        <v>160.19999999999999</v>
      </c>
      <c r="E56" s="246">
        <v>14.932</v>
      </c>
      <c r="F56" s="250">
        <f t="shared" si="2"/>
        <v>2392.1063999999997</v>
      </c>
      <c r="G56" s="320">
        <v>160.19999999999999</v>
      </c>
      <c r="H56" s="324"/>
      <c r="I56" s="320">
        <f>166.32-6.12</f>
        <v>160.19999999999999</v>
      </c>
      <c r="J56" s="250"/>
      <c r="K56" s="247">
        <f>E56*G56</f>
        <v>2392.1063999999997</v>
      </c>
      <c r="L56" s="247"/>
      <c r="M56" s="247">
        <f t="shared" si="3"/>
        <v>2392.1063999999997</v>
      </c>
      <c r="N56" s="277"/>
      <c r="O56" s="382"/>
    </row>
    <row r="57" spans="1:15" ht="38.25" x14ac:dyDescent="0.25">
      <c r="A57" s="245" t="s">
        <v>606</v>
      </c>
      <c r="B57" s="244" t="s">
        <v>607</v>
      </c>
      <c r="C57" s="245" t="s">
        <v>565</v>
      </c>
      <c r="D57" s="246">
        <v>400</v>
      </c>
      <c r="E57" s="246">
        <v>14.34075</v>
      </c>
      <c r="F57" s="250">
        <f t="shared" si="2"/>
        <v>5736.3</v>
      </c>
      <c r="G57" s="320">
        <f>'[1]Memoria de Calculo'!$M$350+280.28</f>
        <v>319.25</v>
      </c>
      <c r="H57" s="324">
        <v>80.75</v>
      </c>
      <c r="I57" s="320">
        <f>319.25+80.75</f>
        <v>400</v>
      </c>
      <c r="J57" s="250"/>
      <c r="K57" s="247">
        <f>E57*G57</f>
        <v>4578.2844374999995</v>
      </c>
      <c r="L57" s="247">
        <f>E57*H57</f>
        <v>1158.0155625</v>
      </c>
      <c r="M57" s="247">
        <f t="shared" si="3"/>
        <v>5736.3</v>
      </c>
      <c r="N57" s="277"/>
      <c r="O57" s="535"/>
    </row>
    <row r="58" spans="1:15" s="263" customFormat="1" ht="38.25" x14ac:dyDescent="0.25">
      <c r="A58" s="245" t="s">
        <v>608</v>
      </c>
      <c r="B58" s="244" t="s">
        <v>609</v>
      </c>
      <c r="C58" s="245" t="s">
        <v>565</v>
      </c>
      <c r="D58" s="246">
        <v>306.3</v>
      </c>
      <c r="E58" s="246">
        <v>15.9748</v>
      </c>
      <c r="F58" s="250">
        <f t="shared" si="2"/>
        <v>4893.0812400000004</v>
      </c>
      <c r="G58" s="252">
        <v>281.86</v>
      </c>
      <c r="H58" s="324"/>
      <c r="I58" s="336">
        <v>281.86</v>
      </c>
      <c r="J58" s="250"/>
      <c r="K58" s="247">
        <v>4502.66</v>
      </c>
      <c r="L58" s="325"/>
      <c r="M58" s="247">
        <f t="shared" si="3"/>
        <v>4502.6571279999998</v>
      </c>
      <c r="N58" s="277"/>
      <c r="O58" s="391"/>
    </row>
    <row r="59" spans="1:15" s="263" customFormat="1" ht="25.5" x14ac:dyDescent="0.25">
      <c r="A59" s="245" t="s">
        <v>610</v>
      </c>
      <c r="B59" s="244" t="s">
        <v>611</v>
      </c>
      <c r="C59" s="245" t="s">
        <v>81</v>
      </c>
      <c r="D59" s="246">
        <v>13.42</v>
      </c>
      <c r="E59" s="246">
        <v>396.33800000000002</v>
      </c>
      <c r="F59" s="250">
        <f t="shared" si="2"/>
        <v>5318.8559599999999</v>
      </c>
      <c r="G59" s="320">
        <v>9.6199999999999992</v>
      </c>
      <c r="H59" s="324">
        <v>2.0099999999999998</v>
      </c>
      <c r="I59" s="320">
        <f>9.62+2.01</f>
        <v>11.629999999999999</v>
      </c>
      <c r="J59" s="250"/>
      <c r="K59" s="247">
        <f>E59*G59</f>
        <v>3812.7715599999997</v>
      </c>
      <c r="L59" s="247">
        <f>E59*H59</f>
        <v>796.63937999999996</v>
      </c>
      <c r="M59" s="247">
        <f t="shared" si="3"/>
        <v>4609.4109399999998</v>
      </c>
      <c r="N59" s="277"/>
      <c r="O59" s="536"/>
    </row>
    <row r="60" spans="1:15" ht="25.5" x14ac:dyDescent="0.25">
      <c r="A60" s="245" t="s">
        <v>612</v>
      </c>
      <c r="B60" s="244" t="s">
        <v>597</v>
      </c>
      <c r="C60" s="245" t="s">
        <v>81</v>
      </c>
      <c r="D60" s="246">
        <v>13.42</v>
      </c>
      <c r="E60" s="246">
        <v>153.95400000000001</v>
      </c>
      <c r="F60" s="250">
        <f t="shared" si="2"/>
        <v>2066.06268</v>
      </c>
      <c r="G60" s="320">
        <f>'[1]Memoria de Calculo'!$M$363+1.68</f>
        <v>9.620000000000001</v>
      </c>
      <c r="H60" s="324">
        <v>2.0099999999999998</v>
      </c>
      <c r="I60" s="320">
        <f>9.62+2.01</f>
        <v>11.629999999999999</v>
      </c>
      <c r="J60" s="250"/>
      <c r="K60" s="247">
        <f>E60*G60</f>
        <v>1481.0374800000002</v>
      </c>
      <c r="L60" s="247">
        <f>E60*H60</f>
        <v>309.44754</v>
      </c>
      <c r="M60" s="247">
        <f t="shared" si="3"/>
        <v>1790.4850199999998</v>
      </c>
      <c r="N60" s="277"/>
      <c r="O60" s="535"/>
    </row>
    <row r="61" spans="1:15" s="409" customFormat="1" ht="18" customHeight="1" x14ac:dyDescent="0.25">
      <c r="A61" s="410" t="s">
        <v>120</v>
      </c>
      <c r="B61" s="494" t="s">
        <v>613</v>
      </c>
      <c r="C61" s="495"/>
      <c r="D61" s="495"/>
      <c r="E61" s="496"/>
      <c r="F61" s="402">
        <f>SUM(F62:F71)+0.01</f>
        <v>41622.770968000004</v>
      </c>
      <c r="G61" s="405"/>
      <c r="H61" s="424"/>
      <c r="I61" s="405"/>
      <c r="J61" s="406"/>
      <c r="K61" s="408">
        <f>SUM(K62:K71)</f>
        <v>33296.284405000006</v>
      </c>
      <c r="L61" s="425">
        <f>SUM(L62:L71)</f>
        <v>5882.8382280000005</v>
      </c>
      <c r="M61" s="426">
        <f>SUM(M62:M71)</f>
        <v>40489.179373000006</v>
      </c>
      <c r="N61" s="367"/>
      <c r="O61" s="382"/>
    </row>
    <row r="62" spans="1:15" ht="38.25" x14ac:dyDescent="0.25">
      <c r="A62" s="245" t="s">
        <v>122</v>
      </c>
      <c r="B62" s="244" t="s">
        <v>614</v>
      </c>
      <c r="C62" s="245" t="s">
        <v>60</v>
      </c>
      <c r="D62" s="246">
        <v>216.86</v>
      </c>
      <c r="E62" s="246">
        <v>51.439700000000002</v>
      </c>
      <c r="F62" s="250">
        <f t="shared" si="2"/>
        <v>11155.213342000001</v>
      </c>
      <c r="G62" s="320">
        <v>216.4</v>
      </c>
      <c r="H62" s="320"/>
      <c r="I62" s="320">
        <f>121.29+95.11</f>
        <v>216.4</v>
      </c>
      <c r="J62" s="250"/>
      <c r="K62" s="247">
        <f>E62*G62</f>
        <v>11131.551080000001</v>
      </c>
      <c r="L62" s="247">
        <f t="shared" ref="L62:L69" si="4">E62*H62</f>
        <v>0</v>
      </c>
      <c r="M62" s="247">
        <f t="shared" ref="M62:M67" si="5">E62*I62</f>
        <v>11131.551080000001</v>
      </c>
      <c r="N62" s="277"/>
      <c r="O62" s="394"/>
    </row>
    <row r="63" spans="1:15" s="263" customFormat="1" ht="38.25" x14ac:dyDescent="0.25">
      <c r="A63" s="245" t="s">
        <v>123</v>
      </c>
      <c r="B63" s="244" t="s">
        <v>601</v>
      </c>
      <c r="C63" s="245" t="s">
        <v>565</v>
      </c>
      <c r="D63" s="246">
        <v>233.7</v>
      </c>
      <c r="E63" s="246">
        <v>20.489850000000001</v>
      </c>
      <c r="F63" s="250">
        <f t="shared" si="2"/>
        <v>4788.4779449999996</v>
      </c>
      <c r="G63" s="320">
        <v>233.63</v>
      </c>
      <c r="H63" s="320"/>
      <c r="I63" s="320">
        <f>147.54 +86.09</f>
        <v>233.63</v>
      </c>
      <c r="J63" s="250"/>
      <c r="K63" s="247">
        <f>E63*G63</f>
        <v>4787.0436554999997</v>
      </c>
      <c r="L63" s="247">
        <f t="shared" si="4"/>
        <v>0</v>
      </c>
      <c r="M63" s="247">
        <f t="shared" si="5"/>
        <v>4787.0436554999997</v>
      </c>
      <c r="N63" s="277"/>
      <c r="O63" s="395"/>
    </row>
    <row r="64" spans="1:15" s="263" customFormat="1" ht="38.25" x14ac:dyDescent="0.25">
      <c r="A64" s="245" t="s">
        <v>615</v>
      </c>
      <c r="B64" s="244" t="s">
        <v>616</v>
      </c>
      <c r="C64" s="245" t="s">
        <v>565</v>
      </c>
      <c r="D64" s="246">
        <v>114.9</v>
      </c>
      <c r="E64" s="246">
        <v>19.3826</v>
      </c>
      <c r="F64" s="250">
        <f t="shared" si="2"/>
        <v>2227.0607399999999</v>
      </c>
      <c r="G64" s="336">
        <v>114.64</v>
      </c>
      <c r="H64" s="320"/>
      <c r="I64" s="336">
        <f>77.42+37.22</f>
        <v>114.64</v>
      </c>
      <c r="J64" s="250"/>
      <c r="K64" s="247">
        <f>E64*G64</f>
        <v>2222.021264</v>
      </c>
      <c r="L64" s="247">
        <f t="shared" si="4"/>
        <v>0</v>
      </c>
      <c r="M64" s="247">
        <f t="shared" si="5"/>
        <v>2222.021264</v>
      </c>
      <c r="N64" s="277"/>
      <c r="O64" s="391"/>
    </row>
    <row r="65" spans="1:15" s="263" customFormat="1" ht="38.25" x14ac:dyDescent="0.25">
      <c r="A65" s="245" t="s">
        <v>617</v>
      </c>
      <c r="B65" s="244" t="s">
        <v>618</v>
      </c>
      <c r="C65" s="245" t="s">
        <v>565</v>
      </c>
      <c r="D65" s="246">
        <v>118</v>
      </c>
      <c r="E65" s="246">
        <v>20.12435</v>
      </c>
      <c r="F65" s="250">
        <f t="shared" si="2"/>
        <v>2374.6732999999999</v>
      </c>
      <c r="G65" s="320">
        <v>108.37</v>
      </c>
      <c r="H65" s="320"/>
      <c r="I65" s="320">
        <f>66.99+41.38</f>
        <v>108.37</v>
      </c>
      <c r="J65" s="250"/>
      <c r="K65" s="247">
        <f>E65*G65</f>
        <v>2180.8758095000003</v>
      </c>
      <c r="L65" s="247">
        <f t="shared" si="4"/>
        <v>0</v>
      </c>
      <c r="M65" s="247">
        <f t="shared" si="5"/>
        <v>2180.8758095000003</v>
      </c>
      <c r="N65" s="277"/>
      <c r="O65" s="395"/>
    </row>
    <row r="66" spans="1:15" ht="38.25" x14ac:dyDescent="0.25">
      <c r="A66" s="245" t="s">
        <v>619</v>
      </c>
      <c r="B66" s="244" t="s">
        <v>603</v>
      </c>
      <c r="C66" s="245" t="s">
        <v>565</v>
      </c>
      <c r="D66" s="246">
        <v>239.3</v>
      </c>
      <c r="E66" s="246">
        <v>17.565799999999999</v>
      </c>
      <c r="F66" s="250">
        <f t="shared" si="2"/>
        <v>4203.4959399999998</v>
      </c>
      <c r="G66" s="320">
        <v>239.02</v>
      </c>
      <c r="H66" s="320"/>
      <c r="I66" s="320">
        <f>173.22+65.8</f>
        <v>239.01999999999998</v>
      </c>
      <c r="J66" s="250"/>
      <c r="K66" s="247">
        <f>E66*G66</f>
        <v>4198.5775160000003</v>
      </c>
      <c r="L66" s="247">
        <f t="shared" si="4"/>
        <v>0</v>
      </c>
      <c r="M66" s="247">
        <f t="shared" si="5"/>
        <v>4198.5775159999994</v>
      </c>
      <c r="N66" s="277"/>
      <c r="O66" s="394"/>
    </row>
    <row r="67" spans="1:15" s="263" customFormat="1" ht="38.25" x14ac:dyDescent="0.25">
      <c r="A67" s="245" t="s">
        <v>620</v>
      </c>
      <c r="B67" s="244" t="s">
        <v>605</v>
      </c>
      <c r="C67" s="245" t="s">
        <v>565</v>
      </c>
      <c r="D67" s="246">
        <v>176.8</v>
      </c>
      <c r="E67" s="246">
        <v>14.932</v>
      </c>
      <c r="F67" s="250">
        <f t="shared" si="2"/>
        <v>2639.9776000000002</v>
      </c>
      <c r="G67" s="336">
        <v>174.31</v>
      </c>
      <c r="H67" s="320"/>
      <c r="I67" s="336">
        <f>76.82+97.49</f>
        <v>174.31</v>
      </c>
      <c r="J67" s="250"/>
      <c r="K67" s="247">
        <f>E67*I67</f>
        <v>2602.7969200000002</v>
      </c>
      <c r="L67" s="247">
        <f t="shared" si="4"/>
        <v>0</v>
      </c>
      <c r="M67" s="247">
        <f t="shared" si="5"/>
        <v>2602.7969200000002</v>
      </c>
      <c r="N67" s="277"/>
      <c r="O67" s="380"/>
    </row>
    <row r="68" spans="1:15" ht="38.25" x14ac:dyDescent="0.25">
      <c r="A68" s="245" t="s">
        <v>621</v>
      </c>
      <c r="B68" s="244" t="s">
        <v>607</v>
      </c>
      <c r="C68" s="245" t="s">
        <v>565</v>
      </c>
      <c r="D68" s="246">
        <v>100.4</v>
      </c>
      <c r="E68" s="246">
        <v>14.3407</v>
      </c>
      <c r="F68" s="250">
        <f t="shared" si="2"/>
        <v>1439.80628</v>
      </c>
      <c r="G68" s="336">
        <v>98.2</v>
      </c>
      <c r="H68" s="320"/>
      <c r="I68" s="336">
        <v>98.2</v>
      </c>
      <c r="J68" s="250"/>
      <c r="K68" s="247">
        <v>98.2</v>
      </c>
      <c r="L68" s="247">
        <f t="shared" si="4"/>
        <v>0</v>
      </c>
      <c r="M68" s="247">
        <f>E68*K68</f>
        <v>1408.25674</v>
      </c>
      <c r="N68" s="277"/>
      <c r="O68" s="382"/>
    </row>
    <row r="69" spans="1:15" ht="25.5" x14ac:dyDescent="0.25">
      <c r="A69" s="245" t="s">
        <v>622</v>
      </c>
      <c r="B69" s="244" t="s">
        <v>611</v>
      </c>
      <c r="C69" s="245" t="s">
        <v>81</v>
      </c>
      <c r="D69" s="246">
        <v>11.62</v>
      </c>
      <c r="E69" s="246">
        <v>396.33800000000002</v>
      </c>
      <c r="F69" s="250">
        <f t="shared" si="2"/>
        <v>4605.4475599999996</v>
      </c>
      <c r="G69" s="320">
        <v>11.04</v>
      </c>
      <c r="H69" s="320"/>
      <c r="I69" s="320">
        <f>5.84+5.2</f>
        <v>11.04</v>
      </c>
      <c r="J69" s="250"/>
      <c r="K69" s="247">
        <f>E69*G69</f>
        <v>4375.5715199999995</v>
      </c>
      <c r="L69" s="247">
        <f t="shared" si="4"/>
        <v>0</v>
      </c>
      <c r="M69" s="247">
        <f>E69*I69</f>
        <v>4375.5715199999995</v>
      </c>
      <c r="N69" s="277"/>
      <c r="O69" s="394"/>
    </row>
    <row r="70" spans="1:15" ht="25.5" x14ac:dyDescent="0.25">
      <c r="A70" s="245" t="s">
        <v>623</v>
      </c>
      <c r="B70" s="244" t="s">
        <v>597</v>
      </c>
      <c r="C70" s="245" t="s">
        <v>81</v>
      </c>
      <c r="D70" s="246">
        <v>11.62</v>
      </c>
      <c r="E70" s="246">
        <v>153.95349999999999</v>
      </c>
      <c r="F70" s="250">
        <f t="shared" si="2"/>
        <v>1788.9396699999998</v>
      </c>
      <c r="G70" s="320">
        <v>11.04</v>
      </c>
      <c r="H70" s="320"/>
      <c r="I70" s="320">
        <f>5.84+5.2</f>
        <v>11.04</v>
      </c>
      <c r="J70" s="250"/>
      <c r="K70" s="247">
        <f>E70*G70</f>
        <v>1699.6466399999997</v>
      </c>
      <c r="L70" s="247">
        <f>E70*H70</f>
        <v>0</v>
      </c>
      <c r="M70" s="247">
        <f>E70*I70</f>
        <v>1699.6466399999997</v>
      </c>
      <c r="N70" s="277"/>
      <c r="O70" s="394"/>
    </row>
    <row r="71" spans="1:15" ht="25.5" x14ac:dyDescent="0.25">
      <c r="A71" s="245" t="s">
        <v>624</v>
      </c>
      <c r="B71" s="244" t="s">
        <v>625</v>
      </c>
      <c r="C71" s="245" t="s">
        <v>189</v>
      </c>
      <c r="D71" s="246">
        <v>182.89</v>
      </c>
      <c r="E71" s="246">
        <v>34.991900000000001</v>
      </c>
      <c r="F71" s="250">
        <f t="shared" si="2"/>
        <v>6399.6685909999997</v>
      </c>
      <c r="G71" s="265"/>
      <c r="H71" s="320">
        <v>168.12</v>
      </c>
      <c r="I71" s="336">
        <v>168.12</v>
      </c>
      <c r="J71" s="250"/>
      <c r="K71" s="247"/>
      <c r="L71" s="247">
        <f>E71*H71</f>
        <v>5882.8382280000005</v>
      </c>
      <c r="M71" s="247">
        <f>E71*I71</f>
        <v>5882.8382280000005</v>
      </c>
      <c r="N71" s="277"/>
      <c r="O71" s="537"/>
    </row>
    <row r="72" spans="1:15" s="409" customFormat="1" ht="18.75" x14ac:dyDescent="0.25">
      <c r="A72" s="410" t="s">
        <v>124</v>
      </c>
      <c r="B72" s="494" t="s">
        <v>626</v>
      </c>
      <c r="C72" s="495"/>
      <c r="D72" s="495"/>
      <c r="E72" s="496"/>
      <c r="F72" s="402">
        <f>SUM(F73:F79)+0.02</f>
        <v>62677.392926</v>
      </c>
      <c r="G72" s="403"/>
      <c r="H72" s="404"/>
      <c r="I72" s="405"/>
      <c r="J72" s="406"/>
      <c r="K72" s="408">
        <f>SUM(K73:K79)</f>
        <v>17556.984667000001</v>
      </c>
      <c r="L72" s="408">
        <f>SUM(L73:L79)</f>
        <v>23656.1928745</v>
      </c>
      <c r="M72" s="408">
        <f>SUM(M73:M79)</f>
        <v>41213.177541500001</v>
      </c>
      <c r="N72" s="360"/>
    </row>
    <row r="73" spans="1:15" ht="38.25" x14ac:dyDescent="0.25">
      <c r="A73" s="245" t="s">
        <v>126</v>
      </c>
      <c r="B73" s="244" t="s">
        <v>627</v>
      </c>
      <c r="C73" s="245" t="s">
        <v>60</v>
      </c>
      <c r="D73" s="246">
        <v>113.89</v>
      </c>
      <c r="E73" s="246">
        <v>20.769300000000001</v>
      </c>
      <c r="F73" s="250">
        <f t="shared" si="2"/>
        <v>2365.4155770000002</v>
      </c>
      <c r="G73" s="265"/>
      <c r="H73" s="320">
        <f>'[2]Memoria de Calculo'!$M$137</f>
        <v>66.38</v>
      </c>
      <c r="I73" s="336">
        <f>H73</f>
        <v>66.38</v>
      </c>
      <c r="J73" s="250"/>
      <c r="K73" s="247"/>
      <c r="L73" s="247">
        <f>E73*H73</f>
        <v>1378.6661340000001</v>
      </c>
      <c r="M73" s="247">
        <f>E73*I73</f>
        <v>1378.6661340000001</v>
      </c>
      <c r="N73" s="277"/>
    </row>
    <row r="74" spans="1:15" ht="38.25" x14ac:dyDescent="0.25">
      <c r="A74" s="245" t="s">
        <v>628</v>
      </c>
      <c r="B74" s="248" t="s">
        <v>629</v>
      </c>
      <c r="C74" s="245" t="s">
        <v>565</v>
      </c>
      <c r="D74" s="246">
        <v>3.3</v>
      </c>
      <c r="E74" s="246">
        <v>18.373999999999999</v>
      </c>
      <c r="F74" s="250">
        <f t="shared" si="2"/>
        <v>60.634199999999993</v>
      </c>
      <c r="G74" s="265"/>
      <c r="H74" s="320"/>
      <c r="I74" s="252"/>
      <c r="J74" s="250"/>
      <c r="K74" s="247"/>
      <c r="L74" s="247"/>
      <c r="M74" s="247"/>
      <c r="N74" s="277"/>
    </row>
    <row r="75" spans="1:15" ht="38.25" x14ac:dyDescent="0.25">
      <c r="A75" s="245" t="s">
        <v>630</v>
      </c>
      <c r="B75" s="248" t="s">
        <v>631</v>
      </c>
      <c r="C75" s="245" t="s">
        <v>565</v>
      </c>
      <c r="D75" s="246">
        <v>922.6</v>
      </c>
      <c r="E75" s="246">
        <v>16.759550000000001</v>
      </c>
      <c r="F75" s="250">
        <f t="shared" si="2"/>
        <v>15462.360830000001</v>
      </c>
      <c r="G75" s="265"/>
      <c r="H75" s="320">
        <v>499.55</v>
      </c>
      <c r="I75" s="336">
        <v>499.55</v>
      </c>
      <c r="J75" s="250"/>
      <c r="K75" s="247"/>
      <c r="L75" s="247">
        <f>E75*H75</f>
        <v>8372.2332025000014</v>
      </c>
      <c r="M75" s="247">
        <f>E75*I75</f>
        <v>8372.2332025000014</v>
      </c>
      <c r="N75" s="277"/>
      <c r="O75" s="537"/>
    </row>
    <row r="76" spans="1:15" ht="38.25" x14ac:dyDescent="0.25">
      <c r="A76" s="245" t="s">
        <v>632</v>
      </c>
      <c r="B76" s="248" t="s">
        <v>633</v>
      </c>
      <c r="C76" s="245" t="s">
        <v>565</v>
      </c>
      <c r="D76" s="246">
        <v>159.30000000000001</v>
      </c>
      <c r="E76" s="246">
        <v>14.297750000000001</v>
      </c>
      <c r="F76" s="250">
        <f t="shared" si="2"/>
        <v>2277.6315750000003</v>
      </c>
      <c r="G76" s="265"/>
      <c r="H76" s="320"/>
      <c r="I76" s="252"/>
      <c r="J76" s="250"/>
      <c r="K76" s="247"/>
      <c r="L76" s="247"/>
      <c r="M76" s="247"/>
      <c r="N76" s="277"/>
    </row>
    <row r="77" spans="1:15" ht="25.5" x14ac:dyDescent="0.25">
      <c r="A77" s="245" t="s">
        <v>634</v>
      </c>
      <c r="B77" s="244" t="s">
        <v>611</v>
      </c>
      <c r="C77" s="245" t="s">
        <v>81</v>
      </c>
      <c r="D77" s="246">
        <v>28.04</v>
      </c>
      <c r="E77" s="246">
        <v>396.33800000000002</v>
      </c>
      <c r="F77" s="250">
        <f t="shared" si="2"/>
        <v>11113.317520000001</v>
      </c>
      <c r="G77" s="265"/>
      <c r="H77" s="320">
        <v>7.97</v>
      </c>
      <c r="I77" s="336">
        <v>7.97</v>
      </c>
      <c r="J77" s="250"/>
      <c r="K77" s="247"/>
      <c r="L77" s="247">
        <f>E77*H77</f>
        <v>3158.8138600000002</v>
      </c>
      <c r="M77" s="247">
        <f>E77*I77</f>
        <v>3158.8138600000002</v>
      </c>
      <c r="N77" s="277"/>
      <c r="O77" s="537"/>
    </row>
    <row r="78" spans="1:15" ht="25.5" x14ac:dyDescent="0.25">
      <c r="A78" s="245" t="s">
        <v>635</v>
      </c>
      <c r="B78" s="244" t="s">
        <v>597</v>
      </c>
      <c r="C78" s="245" t="s">
        <v>81</v>
      </c>
      <c r="D78" s="246">
        <v>28.04</v>
      </c>
      <c r="E78" s="246">
        <v>153.95349999999999</v>
      </c>
      <c r="F78" s="250">
        <f t="shared" si="2"/>
        <v>4316.8561399999999</v>
      </c>
      <c r="G78" s="265"/>
      <c r="H78" s="320">
        <v>7.97</v>
      </c>
      <c r="I78" s="336">
        <v>7.97</v>
      </c>
      <c r="J78" s="250"/>
      <c r="K78" s="247"/>
      <c r="L78" s="247">
        <f>E78*H78</f>
        <v>1227.0093949999998</v>
      </c>
      <c r="M78" s="247">
        <f>E78*I78</f>
        <v>1227.0093949999998</v>
      </c>
      <c r="N78" s="277"/>
      <c r="O78" s="537"/>
    </row>
    <row r="79" spans="1:15" ht="38.25" x14ac:dyDescent="0.25">
      <c r="A79" s="245" t="s">
        <v>636</v>
      </c>
      <c r="B79" s="244" t="s">
        <v>637</v>
      </c>
      <c r="C79" s="245" t="s">
        <v>60</v>
      </c>
      <c r="D79" s="246">
        <v>345.56</v>
      </c>
      <c r="E79" s="246">
        <v>78.368899999999996</v>
      </c>
      <c r="F79" s="250">
        <f t="shared" si="2"/>
        <v>27081.157083999999</v>
      </c>
      <c r="G79" s="265">
        <v>224.03</v>
      </c>
      <c r="H79" s="320">
        <v>121.47</v>
      </c>
      <c r="I79" s="336">
        <f>224.03+121.47</f>
        <v>345.5</v>
      </c>
      <c r="J79" s="250"/>
      <c r="K79" s="247">
        <f>E79*G79</f>
        <v>17556.984667000001</v>
      </c>
      <c r="L79" s="247">
        <f>E79*H79</f>
        <v>9519.4702829999987</v>
      </c>
      <c r="M79" s="247">
        <f>E79*I79</f>
        <v>27076.454949999999</v>
      </c>
      <c r="N79" s="277"/>
      <c r="O79" s="537"/>
    </row>
    <row r="80" spans="1:15" s="409" customFormat="1" ht="18" x14ac:dyDescent="0.25">
      <c r="A80" s="401" t="s">
        <v>638</v>
      </c>
      <c r="B80" s="500" t="s">
        <v>639</v>
      </c>
      <c r="C80" s="501"/>
      <c r="D80" s="501"/>
      <c r="E80" s="502"/>
      <c r="F80" s="402">
        <f>SUM(F81:F84)</f>
        <v>7629.2276000000002</v>
      </c>
      <c r="G80" s="403"/>
      <c r="H80" s="404"/>
      <c r="I80" s="405"/>
      <c r="J80" s="406"/>
      <c r="K80" s="408">
        <f>SUM(K81:K84)</f>
        <v>3291.4802</v>
      </c>
      <c r="L80" s="408"/>
      <c r="M80" s="408">
        <f>SUM(M81:M84)</f>
        <v>3291.4802</v>
      </c>
      <c r="N80" s="360"/>
    </row>
    <row r="81" spans="1:15" x14ac:dyDescent="0.25">
      <c r="A81" s="245" t="s">
        <v>640</v>
      </c>
      <c r="B81" s="244" t="s">
        <v>641</v>
      </c>
      <c r="C81" s="245" t="s">
        <v>189</v>
      </c>
      <c r="D81" s="246">
        <v>68.5</v>
      </c>
      <c r="E81" s="246">
        <v>44.204799999999999</v>
      </c>
      <c r="F81" s="250">
        <f t="shared" si="2"/>
        <v>3028.0288</v>
      </c>
      <c r="G81" s="265">
        <v>20.8</v>
      </c>
      <c r="H81" s="320"/>
      <c r="I81" s="320">
        <v>20.8</v>
      </c>
      <c r="J81" s="250"/>
      <c r="K81" s="247">
        <f>E81*G81</f>
        <v>919.45983999999999</v>
      </c>
      <c r="L81" s="247">
        <f>E81*H81</f>
        <v>0</v>
      </c>
      <c r="M81" s="247">
        <f>E81*I81</f>
        <v>919.45983999999999</v>
      </c>
      <c r="N81" s="277"/>
    </row>
    <row r="82" spans="1:15" ht="25.5" x14ac:dyDescent="0.25">
      <c r="A82" s="245" t="s">
        <v>642</v>
      </c>
      <c r="B82" s="244" t="s">
        <v>643</v>
      </c>
      <c r="C82" s="245" t="s">
        <v>189</v>
      </c>
      <c r="D82" s="246">
        <v>36.6</v>
      </c>
      <c r="E82" s="246">
        <v>32.186</v>
      </c>
      <c r="F82" s="250">
        <f t="shared" si="2"/>
        <v>1178.0076000000001</v>
      </c>
      <c r="G82" s="265">
        <v>36.5</v>
      </c>
      <c r="H82" s="320"/>
      <c r="I82" s="320">
        <v>36.5</v>
      </c>
      <c r="J82" s="250"/>
      <c r="K82" s="247">
        <f t="shared" ref="K82:K84" si="6">E82*G82</f>
        <v>1174.789</v>
      </c>
      <c r="L82" s="247">
        <f>E82*H82</f>
        <v>0</v>
      </c>
      <c r="M82" s="247">
        <f>E82*I82</f>
        <v>1174.789</v>
      </c>
      <c r="N82" s="277"/>
    </row>
    <row r="83" spans="1:15" ht="25.5" x14ac:dyDescent="0.25">
      <c r="A83" s="245" t="s">
        <v>644</v>
      </c>
      <c r="B83" s="244" t="s">
        <v>645</v>
      </c>
      <c r="C83" s="245" t="s">
        <v>189</v>
      </c>
      <c r="D83" s="246">
        <v>68.5</v>
      </c>
      <c r="E83" s="246">
        <v>43.3232</v>
      </c>
      <c r="F83" s="250">
        <f t="shared" si="2"/>
        <v>2967.6392000000001</v>
      </c>
      <c r="G83" s="265">
        <v>20.8</v>
      </c>
      <c r="H83" s="320"/>
      <c r="I83" s="320">
        <v>20.8</v>
      </c>
      <c r="J83" s="250"/>
      <c r="K83" s="247">
        <f t="shared" si="6"/>
        <v>901.12256000000002</v>
      </c>
      <c r="L83" s="247">
        <f>E83*H83</f>
        <v>0</v>
      </c>
      <c r="M83" s="247">
        <f>E83*I83</f>
        <v>901.12256000000002</v>
      </c>
      <c r="N83" s="277"/>
    </row>
    <row r="84" spans="1:15" ht="25.5" x14ac:dyDescent="0.25">
      <c r="A84" s="245" t="s">
        <v>646</v>
      </c>
      <c r="B84" s="244" t="s">
        <v>647</v>
      </c>
      <c r="C84" s="245" t="s">
        <v>189</v>
      </c>
      <c r="D84" s="246">
        <v>8</v>
      </c>
      <c r="E84" s="246">
        <v>56.944000000000003</v>
      </c>
      <c r="F84" s="250">
        <f t="shared" si="2"/>
        <v>455.55200000000002</v>
      </c>
      <c r="G84" s="265">
        <v>5.2</v>
      </c>
      <c r="H84" s="320"/>
      <c r="I84" s="320">
        <v>5.2</v>
      </c>
      <c r="J84" s="250"/>
      <c r="K84" s="247">
        <f t="shared" si="6"/>
        <v>296.10880000000003</v>
      </c>
      <c r="L84" s="247">
        <f>E84*H84</f>
        <v>0</v>
      </c>
      <c r="M84" s="247">
        <f>E84*I84</f>
        <v>296.10880000000003</v>
      </c>
      <c r="N84" s="277"/>
    </row>
    <row r="85" spans="1:15" x14ac:dyDescent="0.25">
      <c r="A85" s="476"/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8"/>
      <c r="N85" s="277"/>
    </row>
    <row r="86" spans="1:15" s="361" customFormat="1" ht="18" customHeight="1" x14ac:dyDescent="0.25">
      <c r="A86" s="338" t="s">
        <v>648</v>
      </c>
      <c r="B86" s="503" t="s">
        <v>649</v>
      </c>
      <c r="C86" s="504"/>
      <c r="D86" s="504"/>
      <c r="E86" s="505"/>
      <c r="F86" s="339">
        <f>SUM(F87)</f>
        <v>42616.161815999993</v>
      </c>
      <c r="G86" s="340"/>
      <c r="H86" s="341"/>
      <c r="I86" s="342"/>
      <c r="J86" s="359"/>
      <c r="K86" s="344">
        <f>K87</f>
        <v>36368.060438399996</v>
      </c>
      <c r="L86" s="344">
        <f>L87</f>
        <v>6242.8651727999995</v>
      </c>
      <c r="M86" s="344">
        <f>M87</f>
        <v>42610.925611199993</v>
      </c>
      <c r="N86" s="360"/>
    </row>
    <row r="87" spans="1:15" ht="51" x14ac:dyDescent="0.25">
      <c r="A87" s="245" t="s">
        <v>650</v>
      </c>
      <c r="B87" s="248" t="s">
        <v>651</v>
      </c>
      <c r="C87" s="245" t="s">
        <v>60</v>
      </c>
      <c r="D87" s="246">
        <v>976.65</v>
      </c>
      <c r="E87" s="246">
        <v>43.635039999999996</v>
      </c>
      <c r="F87" s="250">
        <f>E87*D87</f>
        <v>42616.161815999993</v>
      </c>
      <c r="G87" s="265">
        <v>833.46</v>
      </c>
      <c r="H87" s="320">
        <v>143.07</v>
      </c>
      <c r="I87" s="336">
        <f>G87+H87</f>
        <v>976.53</v>
      </c>
      <c r="J87" s="250"/>
      <c r="K87" s="247">
        <f>E87*G87</f>
        <v>36368.060438399996</v>
      </c>
      <c r="L87" s="247">
        <f>E87*H87</f>
        <v>6242.8651727999995</v>
      </c>
      <c r="M87" s="247">
        <f>E87*I87</f>
        <v>42610.925611199993</v>
      </c>
      <c r="N87" s="335"/>
      <c r="O87" s="537"/>
    </row>
    <row r="88" spans="1:15" x14ac:dyDescent="0.25">
      <c r="A88" s="476"/>
      <c r="B88" s="477"/>
      <c r="C88" s="477"/>
      <c r="D88" s="477"/>
      <c r="E88" s="477"/>
      <c r="F88" s="477"/>
      <c r="G88" s="477"/>
      <c r="H88" s="477"/>
      <c r="I88" s="477"/>
      <c r="J88" s="477"/>
      <c r="K88" s="477"/>
      <c r="L88" s="477"/>
      <c r="M88" s="478"/>
      <c r="N88" s="277"/>
    </row>
    <row r="89" spans="1:15" s="361" customFormat="1" ht="18" customHeight="1" x14ac:dyDescent="0.25">
      <c r="A89" s="338" t="s">
        <v>652</v>
      </c>
      <c r="B89" s="503" t="s">
        <v>144</v>
      </c>
      <c r="C89" s="504"/>
      <c r="D89" s="504"/>
      <c r="E89" s="505"/>
      <c r="F89" s="339">
        <f>SUM(F90,F95,F98)+0.01</f>
        <v>61182.364652000004</v>
      </c>
      <c r="G89" s="340"/>
      <c r="H89" s="341"/>
      <c r="I89" s="342"/>
      <c r="J89" s="359"/>
      <c r="K89" s="372">
        <f>K90+K95+K98</f>
        <v>0</v>
      </c>
      <c r="L89" s="372">
        <f>L90+L95+L98</f>
        <v>0</v>
      </c>
      <c r="M89" s="372">
        <f>M90+M95+M98</f>
        <v>0</v>
      </c>
      <c r="N89" s="360"/>
    </row>
    <row r="90" spans="1:15" s="409" customFormat="1" ht="18.75" x14ac:dyDescent="0.25">
      <c r="A90" s="540" t="s">
        <v>145</v>
      </c>
      <c r="B90" s="541" t="s">
        <v>653</v>
      </c>
      <c r="C90" s="495"/>
      <c r="D90" s="495"/>
      <c r="E90" s="496"/>
      <c r="F90" s="419">
        <f>SUM(F91:F94)+0.01</f>
        <v>36105.598483000002</v>
      </c>
      <c r="G90" s="403"/>
      <c r="H90" s="420"/>
      <c r="I90" s="405"/>
      <c r="J90" s="421"/>
      <c r="K90" s="407">
        <f>SUM(K91:K94)</f>
        <v>0</v>
      </c>
      <c r="L90" s="407">
        <f>SUM(L91:L94)</f>
        <v>0</v>
      </c>
      <c r="M90" s="407">
        <f>SUM(M91:M94)</f>
        <v>0</v>
      </c>
      <c r="N90" s="360"/>
    </row>
    <row r="91" spans="1:15" ht="25.5" x14ac:dyDescent="0.25">
      <c r="A91" s="245" t="s">
        <v>654</v>
      </c>
      <c r="B91" s="248" t="s">
        <v>655</v>
      </c>
      <c r="C91" s="245" t="s">
        <v>60</v>
      </c>
      <c r="D91" s="246">
        <v>9.24</v>
      </c>
      <c r="E91" s="246">
        <v>365.47399999999999</v>
      </c>
      <c r="F91" s="250">
        <f t="shared" ref="F91:F99" si="7">E91*D91</f>
        <v>3376.9797600000002</v>
      </c>
      <c r="G91" s="265"/>
      <c r="H91" s="320"/>
      <c r="I91" s="252"/>
      <c r="J91" s="250"/>
      <c r="K91" s="247"/>
      <c r="L91" s="247"/>
      <c r="M91" s="247"/>
      <c r="N91" s="277"/>
    </row>
    <row r="92" spans="1:15" ht="51" x14ac:dyDescent="0.25">
      <c r="A92" s="245" t="s">
        <v>656</v>
      </c>
      <c r="B92" s="248" t="s">
        <v>657</v>
      </c>
      <c r="C92" s="245" t="s">
        <v>60</v>
      </c>
      <c r="D92" s="246">
        <v>340.05</v>
      </c>
      <c r="E92" s="246">
        <v>19.877109999999998</v>
      </c>
      <c r="F92" s="250">
        <f t="shared" si="7"/>
        <v>6759.2112554999994</v>
      </c>
      <c r="G92" s="265"/>
      <c r="H92" s="320"/>
      <c r="I92" s="252"/>
      <c r="J92" s="250"/>
      <c r="K92" s="247"/>
      <c r="L92" s="247"/>
      <c r="M92" s="247"/>
      <c r="N92" s="277"/>
    </row>
    <row r="93" spans="1:15" ht="38.25" x14ac:dyDescent="0.25">
      <c r="A93" s="245" t="s">
        <v>658</v>
      </c>
      <c r="B93" s="244" t="s">
        <v>659</v>
      </c>
      <c r="C93" s="245" t="s">
        <v>60</v>
      </c>
      <c r="D93" s="246">
        <v>340.05</v>
      </c>
      <c r="E93" s="246">
        <v>14.85675</v>
      </c>
      <c r="F93" s="250">
        <f t="shared" si="7"/>
        <v>5052.0378375</v>
      </c>
      <c r="G93" s="265"/>
      <c r="H93" s="320"/>
      <c r="I93" s="252"/>
      <c r="J93" s="250"/>
      <c r="K93" s="247"/>
      <c r="L93" s="247"/>
      <c r="M93" s="247"/>
      <c r="N93" s="277"/>
    </row>
    <row r="94" spans="1:15" ht="38.25" x14ac:dyDescent="0.25">
      <c r="A94" s="245" t="s">
        <v>660</v>
      </c>
      <c r="B94" s="244" t="s">
        <v>661</v>
      </c>
      <c r="C94" s="245" t="s">
        <v>60</v>
      </c>
      <c r="D94" s="246">
        <v>340.05</v>
      </c>
      <c r="E94" s="246">
        <v>61.512599999999999</v>
      </c>
      <c r="F94" s="250">
        <f t="shared" si="7"/>
        <v>20917.359629999999</v>
      </c>
      <c r="G94" s="265"/>
      <c r="H94" s="320"/>
      <c r="I94" s="252"/>
      <c r="J94" s="250"/>
      <c r="K94" s="247"/>
      <c r="L94" s="247"/>
      <c r="M94" s="247"/>
      <c r="N94" s="277"/>
    </row>
    <row r="95" spans="1:15" s="409" customFormat="1" ht="36" customHeight="1" x14ac:dyDescent="0.25">
      <c r="A95" s="540" t="s">
        <v>147</v>
      </c>
      <c r="B95" s="541" t="s">
        <v>662</v>
      </c>
      <c r="C95" s="495"/>
      <c r="D95" s="495"/>
      <c r="E95" s="496"/>
      <c r="F95" s="402">
        <f>SUM(F96:F97)-0.01</f>
        <v>12505.331349999999</v>
      </c>
      <c r="G95" s="403"/>
      <c r="H95" s="404"/>
      <c r="I95" s="405"/>
      <c r="J95" s="406"/>
      <c r="K95" s="407">
        <f>SUM(K96:K97)</f>
        <v>0</v>
      </c>
      <c r="L95" s="407">
        <f>SUM(L96:L97)</f>
        <v>0</v>
      </c>
      <c r="M95" s="407">
        <f>SUM(M96:M97)</f>
        <v>0</v>
      </c>
      <c r="N95" s="360"/>
    </row>
    <row r="96" spans="1:15" ht="25.5" x14ac:dyDescent="0.25">
      <c r="A96" s="245" t="s">
        <v>663</v>
      </c>
      <c r="B96" s="248" t="s">
        <v>664</v>
      </c>
      <c r="C96" s="245" t="s">
        <v>189</v>
      </c>
      <c r="D96" s="246">
        <v>135.9</v>
      </c>
      <c r="E96" s="246">
        <v>53.869250000000001</v>
      </c>
      <c r="F96" s="250">
        <f t="shared" si="7"/>
        <v>7320.8310750000001</v>
      </c>
      <c r="G96" s="265"/>
      <c r="H96" s="320"/>
      <c r="I96" s="252"/>
      <c r="J96" s="250"/>
      <c r="K96" s="247"/>
      <c r="L96" s="247"/>
      <c r="M96" s="247"/>
      <c r="N96" s="277"/>
    </row>
    <row r="97" spans="1:16" ht="25.5" x14ac:dyDescent="0.25">
      <c r="A97" s="245" t="s">
        <v>665</v>
      </c>
      <c r="B97" s="244" t="s">
        <v>666</v>
      </c>
      <c r="C97" s="245" t="s">
        <v>189</v>
      </c>
      <c r="D97" s="246">
        <v>78.05</v>
      </c>
      <c r="E97" s="246">
        <v>66.4255</v>
      </c>
      <c r="F97" s="250">
        <f t="shared" si="7"/>
        <v>5184.5102749999996</v>
      </c>
      <c r="G97" s="265"/>
      <c r="H97" s="320"/>
      <c r="I97" s="252"/>
      <c r="J97" s="250"/>
      <c r="K97" s="247"/>
      <c r="L97" s="247"/>
      <c r="M97" s="247"/>
      <c r="N97" s="277"/>
    </row>
    <row r="98" spans="1:16" s="409" customFormat="1" ht="18.75" x14ac:dyDescent="0.25">
      <c r="A98" s="540" t="s">
        <v>667</v>
      </c>
      <c r="B98" s="541" t="s">
        <v>668</v>
      </c>
      <c r="C98" s="495"/>
      <c r="D98" s="495"/>
      <c r="E98" s="496"/>
      <c r="F98" s="402">
        <f>F99</f>
        <v>12571.424819</v>
      </c>
      <c r="G98" s="403"/>
      <c r="H98" s="404"/>
      <c r="I98" s="405"/>
      <c r="J98" s="406"/>
      <c r="K98" s="407">
        <f>K99</f>
        <v>0</v>
      </c>
      <c r="L98" s="407">
        <f>L99</f>
        <v>0</v>
      </c>
      <c r="M98" s="407">
        <f>M99</f>
        <v>0</v>
      </c>
      <c r="N98" s="360"/>
    </row>
    <row r="99" spans="1:16" ht="25.5" x14ac:dyDescent="0.25">
      <c r="A99" s="245" t="s">
        <v>669</v>
      </c>
      <c r="B99" s="248" t="s">
        <v>670</v>
      </c>
      <c r="C99" s="245" t="s">
        <v>60</v>
      </c>
      <c r="D99" s="246">
        <v>383.54</v>
      </c>
      <c r="E99" s="246">
        <v>32.777349999999998</v>
      </c>
      <c r="F99" s="250">
        <f t="shared" si="7"/>
        <v>12571.424819</v>
      </c>
      <c r="G99" s="265"/>
      <c r="H99" s="320"/>
      <c r="I99" s="252"/>
      <c r="J99" s="250"/>
      <c r="K99" s="247"/>
      <c r="L99" s="247"/>
      <c r="M99" s="247"/>
      <c r="N99" s="277"/>
    </row>
    <row r="100" spans="1:16" x14ac:dyDescent="0.25">
      <c r="A100" s="476"/>
      <c r="B100" s="477"/>
      <c r="C100" s="477"/>
      <c r="D100" s="477"/>
      <c r="E100" s="477"/>
      <c r="F100" s="477"/>
      <c r="G100" s="477"/>
      <c r="H100" s="477"/>
      <c r="I100" s="477"/>
      <c r="J100" s="477"/>
      <c r="K100" s="477"/>
      <c r="L100" s="477"/>
      <c r="M100" s="478"/>
      <c r="N100" s="277"/>
    </row>
    <row r="101" spans="1:16" s="377" customFormat="1" ht="18" customHeight="1" x14ac:dyDescent="0.25">
      <c r="A101" s="338" t="s">
        <v>671</v>
      </c>
      <c r="B101" s="503" t="s">
        <v>672</v>
      </c>
      <c r="C101" s="504"/>
      <c r="D101" s="504"/>
      <c r="E101" s="505"/>
      <c r="F101" s="339">
        <f>SUM(F102:F103)+0.01</f>
        <v>8449.6111304999995</v>
      </c>
      <c r="G101" s="355"/>
      <c r="H101" s="373"/>
      <c r="I101" s="374"/>
      <c r="J101" s="375"/>
      <c r="K101" s="344">
        <f>SUM(K102:K103)</f>
        <v>2498.11</v>
      </c>
      <c r="L101" s="397">
        <f>SUM(L102:L103)</f>
        <v>0</v>
      </c>
      <c r="M101" s="370">
        <f>SUM(M102:M103)</f>
        <v>2498.11</v>
      </c>
      <c r="N101" s="376"/>
    </row>
    <row r="102" spans="1:16" ht="25.5" x14ac:dyDescent="0.25">
      <c r="A102" s="245" t="s">
        <v>150</v>
      </c>
      <c r="B102" s="244" t="s">
        <v>673</v>
      </c>
      <c r="C102" s="245" t="s">
        <v>60</v>
      </c>
      <c r="D102" s="246">
        <v>401.27</v>
      </c>
      <c r="E102" s="246">
        <v>8.6861499999999996</v>
      </c>
      <c r="F102" s="250">
        <f>E102*D102</f>
        <v>3485.4914104999998</v>
      </c>
      <c r="G102" s="265">
        <v>288.92</v>
      </c>
      <c r="H102" s="324"/>
      <c r="I102" s="336">
        <f>G102+H102</f>
        <v>288.92</v>
      </c>
      <c r="J102" s="250"/>
      <c r="K102" s="247">
        <v>2498.11</v>
      </c>
      <c r="L102" s="329"/>
      <c r="M102" s="247">
        <f>H102+K102</f>
        <v>2498.11</v>
      </c>
      <c r="N102" s="277"/>
      <c r="O102" s="382"/>
      <c r="P102" s="278"/>
    </row>
    <row r="103" spans="1:16" ht="25.5" x14ac:dyDescent="0.25">
      <c r="A103" s="245" t="s">
        <v>154</v>
      </c>
      <c r="B103" s="244" t="s">
        <v>674</v>
      </c>
      <c r="C103" s="245" t="s">
        <v>60</v>
      </c>
      <c r="D103" s="246">
        <v>61.8</v>
      </c>
      <c r="E103" s="246">
        <v>80.325400000000002</v>
      </c>
      <c r="F103" s="250">
        <f>E103*D103</f>
        <v>4964.1097199999995</v>
      </c>
      <c r="G103" s="265"/>
      <c r="H103" s="320"/>
      <c r="I103" s="252"/>
      <c r="J103" s="250"/>
      <c r="K103" s="247"/>
      <c r="L103" s="247"/>
      <c r="M103" s="247"/>
      <c r="N103" s="277"/>
    </row>
    <row r="104" spans="1:16" x14ac:dyDescent="0.25">
      <c r="A104" s="476"/>
      <c r="B104" s="477"/>
      <c r="C104" s="477"/>
      <c r="D104" s="477"/>
      <c r="E104" s="477"/>
      <c r="F104" s="477"/>
      <c r="G104" s="477"/>
      <c r="H104" s="477"/>
      <c r="I104" s="477"/>
      <c r="J104" s="477"/>
      <c r="K104" s="477"/>
      <c r="L104" s="477"/>
      <c r="M104" s="478"/>
      <c r="N104" s="277"/>
    </row>
    <row r="105" spans="1:16" s="361" customFormat="1" ht="18" customHeight="1" x14ac:dyDescent="0.25">
      <c r="A105" s="338" t="s">
        <v>675</v>
      </c>
      <c r="B105" s="503" t="s">
        <v>149</v>
      </c>
      <c r="C105" s="504"/>
      <c r="D105" s="504"/>
      <c r="E105" s="505"/>
      <c r="F105" s="339">
        <f>SUM(F106,F115)</f>
        <v>64275.949280000001</v>
      </c>
      <c r="G105" s="340"/>
      <c r="H105" s="341"/>
      <c r="I105" s="342"/>
      <c r="J105" s="359"/>
      <c r="K105" s="372">
        <f>K106+K115</f>
        <v>0</v>
      </c>
      <c r="L105" s="372">
        <f>L106+L115</f>
        <v>0</v>
      </c>
      <c r="M105" s="372">
        <f>M106+M115</f>
        <v>0</v>
      </c>
      <c r="N105" s="360"/>
    </row>
    <row r="106" spans="1:16" s="409" customFormat="1" ht="18.75" x14ac:dyDescent="0.25">
      <c r="A106" s="410" t="s">
        <v>164</v>
      </c>
      <c r="B106" s="494" t="s">
        <v>676</v>
      </c>
      <c r="C106" s="495"/>
      <c r="D106" s="495"/>
      <c r="E106" s="496"/>
      <c r="F106" s="419">
        <f>SUM(F107:F114)-0.01</f>
        <v>37579.457119999999</v>
      </c>
      <c r="G106" s="403"/>
      <c r="H106" s="420"/>
      <c r="I106" s="405"/>
      <c r="J106" s="421"/>
      <c r="K106" s="407">
        <f>SUM(K107:K114)</f>
        <v>0</v>
      </c>
      <c r="L106" s="407">
        <f>SUM(L107:L114)</f>
        <v>0</v>
      </c>
      <c r="M106" s="407">
        <f>SUM(M107:M114)</f>
        <v>0</v>
      </c>
      <c r="N106" s="360"/>
    </row>
    <row r="107" spans="1:16" ht="25.5" x14ac:dyDescent="0.25">
      <c r="A107" s="245" t="s">
        <v>677</v>
      </c>
      <c r="B107" s="248" t="s">
        <v>678</v>
      </c>
      <c r="C107" s="245" t="s">
        <v>60</v>
      </c>
      <c r="D107" s="246">
        <v>8.19</v>
      </c>
      <c r="E107" s="246">
        <v>598.07600000000002</v>
      </c>
      <c r="F107" s="250">
        <f t="shared" ref="F107:F117" si="8">E107*D107</f>
        <v>4898.24244</v>
      </c>
      <c r="G107" s="265"/>
      <c r="H107" s="320"/>
      <c r="I107" s="252"/>
      <c r="J107" s="250"/>
      <c r="K107" s="247"/>
      <c r="L107" s="247"/>
      <c r="M107" s="247"/>
      <c r="N107" s="277"/>
    </row>
    <row r="108" spans="1:16" ht="25.5" x14ac:dyDescent="0.25">
      <c r="A108" s="245" t="s">
        <v>679</v>
      </c>
      <c r="B108" s="248" t="s">
        <v>680</v>
      </c>
      <c r="C108" s="245" t="s">
        <v>60</v>
      </c>
      <c r="D108" s="246">
        <v>11.34</v>
      </c>
      <c r="E108" s="246">
        <v>504.09800000000001</v>
      </c>
      <c r="F108" s="250">
        <f t="shared" si="8"/>
        <v>5716.4713199999997</v>
      </c>
      <c r="G108" s="265"/>
      <c r="H108" s="320"/>
      <c r="I108" s="252"/>
      <c r="J108" s="250"/>
      <c r="K108" s="247"/>
      <c r="L108" s="247"/>
      <c r="M108" s="247"/>
      <c r="N108" s="277"/>
    </row>
    <row r="109" spans="1:16" ht="25.5" x14ac:dyDescent="0.25">
      <c r="A109" s="245" t="s">
        <v>681</v>
      </c>
      <c r="B109" s="248" t="s">
        <v>682</v>
      </c>
      <c r="C109" s="245" t="s">
        <v>60</v>
      </c>
      <c r="D109" s="246">
        <v>6.12</v>
      </c>
      <c r="E109" s="246">
        <v>426.428</v>
      </c>
      <c r="F109" s="250">
        <f t="shared" si="8"/>
        <v>2609.73936</v>
      </c>
      <c r="G109" s="265"/>
      <c r="H109" s="320"/>
      <c r="I109" s="252"/>
      <c r="J109" s="250"/>
      <c r="K109" s="247"/>
      <c r="L109" s="247"/>
      <c r="M109" s="247"/>
      <c r="N109" s="277"/>
    </row>
    <row r="110" spans="1:16" ht="51" x14ac:dyDescent="0.25">
      <c r="A110" s="245" t="s">
        <v>683</v>
      </c>
      <c r="B110" s="248" t="s">
        <v>684</v>
      </c>
      <c r="C110" s="245" t="s">
        <v>152</v>
      </c>
      <c r="D110" s="246">
        <v>4</v>
      </c>
      <c r="E110" s="246">
        <v>762.85599999999999</v>
      </c>
      <c r="F110" s="250">
        <f t="shared" si="8"/>
        <v>3051.424</v>
      </c>
      <c r="G110" s="265"/>
      <c r="H110" s="320"/>
      <c r="I110" s="252"/>
      <c r="J110" s="250"/>
      <c r="K110" s="247"/>
      <c r="L110" s="247"/>
      <c r="M110" s="247"/>
      <c r="N110" s="277"/>
    </row>
    <row r="111" spans="1:16" ht="51" x14ac:dyDescent="0.25">
      <c r="A111" s="245" t="s">
        <v>685</v>
      </c>
      <c r="B111" s="248" t="s">
        <v>686</v>
      </c>
      <c r="C111" s="245" t="s">
        <v>152</v>
      </c>
      <c r="D111" s="246">
        <v>4</v>
      </c>
      <c r="E111" s="246">
        <v>799.38400000000001</v>
      </c>
      <c r="F111" s="250">
        <f t="shared" si="8"/>
        <v>3197.5360000000001</v>
      </c>
      <c r="G111" s="265"/>
      <c r="H111" s="320"/>
      <c r="I111" s="252"/>
      <c r="J111" s="250"/>
      <c r="K111" s="247"/>
      <c r="L111" s="247"/>
      <c r="M111" s="247"/>
      <c r="N111" s="277"/>
    </row>
    <row r="112" spans="1:16" ht="51" x14ac:dyDescent="0.25">
      <c r="A112" s="245" t="s">
        <v>687</v>
      </c>
      <c r="B112" s="248" t="s">
        <v>688</v>
      </c>
      <c r="C112" s="245" t="s">
        <v>152</v>
      </c>
      <c r="D112" s="246">
        <v>17</v>
      </c>
      <c r="E112" s="246">
        <v>849.64200000000005</v>
      </c>
      <c r="F112" s="250">
        <f t="shared" si="8"/>
        <v>14443.914000000001</v>
      </c>
      <c r="G112" s="265"/>
      <c r="H112" s="320"/>
      <c r="I112" s="252"/>
      <c r="J112" s="250"/>
      <c r="K112" s="247"/>
      <c r="L112" s="247"/>
      <c r="M112" s="247"/>
      <c r="N112" s="277"/>
    </row>
    <row r="113" spans="1:14" ht="25.5" x14ac:dyDescent="0.25">
      <c r="A113" s="245" t="s">
        <v>689</v>
      </c>
      <c r="B113" s="248" t="s">
        <v>690</v>
      </c>
      <c r="C113" s="245" t="s">
        <v>152</v>
      </c>
      <c r="D113" s="246">
        <v>2</v>
      </c>
      <c r="E113" s="246">
        <v>914.41</v>
      </c>
      <c r="F113" s="250">
        <f t="shared" si="8"/>
        <v>1828.82</v>
      </c>
      <c r="G113" s="265"/>
      <c r="H113" s="320"/>
      <c r="I113" s="252"/>
      <c r="J113" s="250"/>
      <c r="K113" s="247"/>
      <c r="L113" s="247"/>
      <c r="M113" s="247"/>
      <c r="N113" s="277"/>
    </row>
    <row r="114" spans="1:14" ht="25.5" x14ac:dyDescent="0.25">
      <c r="A114" s="245" t="s">
        <v>691</v>
      </c>
      <c r="B114" s="248" t="s">
        <v>692</v>
      </c>
      <c r="C114" s="245" t="s">
        <v>152</v>
      </c>
      <c r="D114" s="246">
        <v>2</v>
      </c>
      <c r="E114" s="246">
        <v>916.66</v>
      </c>
      <c r="F114" s="250">
        <f t="shared" si="8"/>
        <v>1833.32</v>
      </c>
      <c r="G114" s="265"/>
      <c r="H114" s="320"/>
      <c r="I114" s="252"/>
      <c r="J114" s="250"/>
      <c r="K114" s="247"/>
      <c r="L114" s="247"/>
      <c r="M114" s="247"/>
      <c r="N114" s="277"/>
    </row>
    <row r="115" spans="1:14" s="409" customFormat="1" ht="18.75" x14ac:dyDescent="0.25">
      <c r="A115" s="410" t="s">
        <v>167</v>
      </c>
      <c r="B115" s="494" t="s">
        <v>693</v>
      </c>
      <c r="C115" s="495"/>
      <c r="D115" s="495"/>
      <c r="E115" s="496"/>
      <c r="F115" s="402">
        <f>SUM(F116:F117)</f>
        <v>26696.492159999998</v>
      </c>
      <c r="G115" s="403"/>
      <c r="H115" s="404"/>
      <c r="I115" s="405"/>
      <c r="J115" s="406"/>
      <c r="K115" s="407">
        <f>SUM(K116:K117)</f>
        <v>0</v>
      </c>
      <c r="L115" s="407">
        <f>SUM(L116:L117)</f>
        <v>0</v>
      </c>
      <c r="M115" s="407">
        <f>SUM(M116:M117)</f>
        <v>0</v>
      </c>
      <c r="N115" s="360"/>
    </row>
    <row r="116" spans="1:14" ht="25.5" x14ac:dyDescent="0.25">
      <c r="A116" s="245" t="s">
        <v>694</v>
      </c>
      <c r="B116" s="248" t="s">
        <v>695</v>
      </c>
      <c r="C116" s="251" t="s">
        <v>60</v>
      </c>
      <c r="D116" s="246">
        <v>52.8</v>
      </c>
      <c r="E116" s="246">
        <v>493.7672</v>
      </c>
      <c r="F116" s="250">
        <f t="shared" si="8"/>
        <v>26070.908159999999</v>
      </c>
      <c r="G116" s="265"/>
      <c r="H116" s="320"/>
      <c r="I116" s="252"/>
      <c r="J116" s="250"/>
      <c r="K116" s="247"/>
      <c r="L116" s="247"/>
      <c r="M116" s="247"/>
      <c r="N116" s="277"/>
    </row>
    <row r="117" spans="1:14" ht="25.5" x14ac:dyDescent="0.25">
      <c r="A117" s="245" t="s">
        <v>696</v>
      </c>
      <c r="B117" s="248" t="s">
        <v>697</v>
      </c>
      <c r="C117" s="251" t="s">
        <v>60</v>
      </c>
      <c r="D117" s="246">
        <v>0.8</v>
      </c>
      <c r="E117" s="246">
        <v>781.98</v>
      </c>
      <c r="F117" s="250">
        <f t="shared" si="8"/>
        <v>625.58400000000006</v>
      </c>
      <c r="G117" s="265"/>
      <c r="H117" s="320"/>
      <c r="I117" s="252"/>
      <c r="J117" s="250"/>
      <c r="K117" s="247"/>
      <c r="L117" s="247"/>
      <c r="M117" s="247"/>
      <c r="N117" s="277"/>
    </row>
    <row r="118" spans="1:14" x14ac:dyDescent="0.25">
      <c r="A118" s="476"/>
      <c r="B118" s="477"/>
      <c r="C118" s="477"/>
      <c r="D118" s="477"/>
      <c r="E118" s="477"/>
      <c r="F118" s="477"/>
      <c r="G118" s="477"/>
      <c r="H118" s="477"/>
      <c r="I118" s="477"/>
      <c r="J118" s="477"/>
      <c r="K118" s="477"/>
      <c r="L118" s="477"/>
      <c r="M118" s="478"/>
      <c r="N118" s="277"/>
    </row>
    <row r="119" spans="1:14" s="361" customFormat="1" ht="18" x14ac:dyDescent="0.25">
      <c r="A119" s="338" t="s">
        <v>698</v>
      </c>
      <c r="B119" s="503" t="s">
        <v>218</v>
      </c>
      <c r="C119" s="504"/>
      <c r="D119" s="504"/>
      <c r="E119" s="505"/>
      <c r="F119" s="339">
        <f>SUM(F120:F155)-0.03</f>
        <v>10352.645133</v>
      </c>
      <c r="G119" s="340"/>
      <c r="H119" s="341"/>
      <c r="I119" s="342"/>
      <c r="J119" s="359"/>
      <c r="K119" s="372">
        <f>SUM(K120:K155)</f>
        <v>0</v>
      </c>
      <c r="L119" s="372">
        <f>SUM(L120:L155)</f>
        <v>0</v>
      </c>
      <c r="M119" s="372">
        <f>SUM(M120:M155)</f>
        <v>0</v>
      </c>
      <c r="N119" s="360"/>
    </row>
    <row r="120" spans="1:14" x14ac:dyDescent="0.25">
      <c r="A120" s="245" t="s">
        <v>180</v>
      </c>
      <c r="B120" s="248" t="s">
        <v>699</v>
      </c>
      <c r="C120" s="251" t="s">
        <v>152</v>
      </c>
      <c r="D120" s="246">
        <v>1</v>
      </c>
      <c r="E120" s="246">
        <v>2978.07</v>
      </c>
      <c r="F120" s="250">
        <f t="shared" ref="F120:F155" si="9">E120*D120</f>
        <v>2978.07</v>
      </c>
      <c r="G120" s="265"/>
      <c r="H120" s="320"/>
      <c r="I120" s="252"/>
      <c r="J120" s="250"/>
      <c r="K120" s="247"/>
      <c r="L120" s="247"/>
      <c r="M120" s="247"/>
      <c r="N120" s="277"/>
    </row>
    <row r="121" spans="1:14" ht="51" x14ac:dyDescent="0.25">
      <c r="A121" s="245" t="s">
        <v>183</v>
      </c>
      <c r="B121" s="248" t="s">
        <v>700</v>
      </c>
      <c r="C121" s="251" t="s">
        <v>152</v>
      </c>
      <c r="D121" s="246">
        <v>2</v>
      </c>
      <c r="E121" s="246">
        <v>42.216000000000001</v>
      </c>
      <c r="F121" s="250">
        <f t="shared" si="9"/>
        <v>84.432000000000002</v>
      </c>
      <c r="G121" s="265"/>
      <c r="H121" s="320"/>
      <c r="I121" s="252"/>
      <c r="J121" s="250"/>
      <c r="K121" s="247"/>
      <c r="L121" s="247"/>
      <c r="M121" s="247"/>
      <c r="N121" s="277"/>
    </row>
    <row r="122" spans="1:14" ht="51" x14ac:dyDescent="0.25">
      <c r="A122" s="245" t="s">
        <v>185</v>
      </c>
      <c r="B122" s="248" t="s">
        <v>701</v>
      </c>
      <c r="C122" s="251" t="s">
        <v>152</v>
      </c>
      <c r="D122" s="246">
        <v>1</v>
      </c>
      <c r="E122" s="246">
        <v>20.14</v>
      </c>
      <c r="F122" s="250">
        <f t="shared" si="9"/>
        <v>20.14</v>
      </c>
      <c r="G122" s="265"/>
      <c r="H122" s="320"/>
      <c r="I122" s="252"/>
      <c r="J122" s="250"/>
      <c r="K122" s="247"/>
      <c r="L122" s="247"/>
      <c r="M122" s="247"/>
      <c r="N122" s="277"/>
    </row>
    <row r="123" spans="1:14" ht="51" x14ac:dyDescent="0.25">
      <c r="A123" s="245" t="s">
        <v>187</v>
      </c>
      <c r="B123" s="248" t="s">
        <v>702</v>
      </c>
      <c r="C123" s="251" t="s">
        <v>152</v>
      </c>
      <c r="D123" s="246">
        <v>3</v>
      </c>
      <c r="E123" s="246">
        <v>4.8499999999999996</v>
      </c>
      <c r="F123" s="250">
        <f t="shared" si="9"/>
        <v>14.549999999999999</v>
      </c>
      <c r="G123" s="265"/>
      <c r="H123" s="320"/>
      <c r="I123" s="252"/>
      <c r="J123" s="250"/>
      <c r="K123" s="247"/>
      <c r="L123" s="247"/>
      <c r="M123" s="247"/>
      <c r="N123" s="277"/>
    </row>
    <row r="124" spans="1:14" x14ac:dyDescent="0.25">
      <c r="A124" s="245" t="s">
        <v>191</v>
      </c>
      <c r="B124" s="248" t="s">
        <v>703</v>
      </c>
      <c r="C124" s="251" t="s">
        <v>152</v>
      </c>
      <c r="D124" s="246">
        <v>1</v>
      </c>
      <c r="E124" s="246">
        <v>35.74</v>
      </c>
      <c r="F124" s="250">
        <f t="shared" si="9"/>
        <v>35.74</v>
      </c>
      <c r="G124" s="265"/>
      <c r="H124" s="320"/>
      <c r="I124" s="252"/>
      <c r="J124" s="250"/>
      <c r="K124" s="247"/>
      <c r="L124" s="247"/>
      <c r="M124" s="247"/>
      <c r="N124" s="277"/>
    </row>
    <row r="125" spans="1:14" ht="25.5" x14ac:dyDescent="0.25">
      <c r="A125" s="245" t="s">
        <v>704</v>
      </c>
      <c r="B125" s="248" t="s">
        <v>705</v>
      </c>
      <c r="C125" s="251" t="s">
        <v>152</v>
      </c>
      <c r="D125" s="246">
        <v>28</v>
      </c>
      <c r="E125" s="246">
        <v>6.633</v>
      </c>
      <c r="F125" s="250">
        <f t="shared" si="9"/>
        <v>185.72399999999999</v>
      </c>
      <c r="G125" s="265"/>
      <c r="H125" s="320"/>
      <c r="I125" s="252"/>
      <c r="J125" s="250"/>
      <c r="K125" s="247"/>
      <c r="L125" s="247"/>
      <c r="M125" s="247"/>
      <c r="N125" s="277"/>
    </row>
    <row r="126" spans="1:14" ht="38.25" x14ac:dyDescent="0.25">
      <c r="A126" s="245" t="s">
        <v>706</v>
      </c>
      <c r="B126" s="248" t="s">
        <v>707</v>
      </c>
      <c r="C126" s="251" t="s">
        <v>152</v>
      </c>
      <c r="D126" s="246">
        <v>26</v>
      </c>
      <c r="E126" s="246">
        <v>13.6205</v>
      </c>
      <c r="F126" s="250">
        <f t="shared" si="9"/>
        <v>354.13299999999998</v>
      </c>
      <c r="G126" s="265"/>
      <c r="H126" s="320"/>
      <c r="I126" s="252"/>
      <c r="J126" s="250"/>
      <c r="K126" s="247"/>
      <c r="L126" s="247"/>
      <c r="M126" s="247"/>
      <c r="N126" s="277"/>
    </row>
    <row r="127" spans="1:14" ht="38.25" x14ac:dyDescent="0.25">
      <c r="A127" s="245" t="s">
        <v>708</v>
      </c>
      <c r="B127" s="248" t="s">
        <v>709</v>
      </c>
      <c r="C127" s="251" t="s">
        <v>152</v>
      </c>
      <c r="D127" s="246">
        <v>1</v>
      </c>
      <c r="E127" s="246">
        <v>15.09</v>
      </c>
      <c r="F127" s="250">
        <f t="shared" si="9"/>
        <v>15.09</v>
      </c>
      <c r="G127" s="265"/>
      <c r="H127" s="320"/>
      <c r="I127" s="252"/>
      <c r="J127" s="250"/>
      <c r="K127" s="247"/>
      <c r="L127" s="247"/>
      <c r="M127" s="247"/>
      <c r="N127" s="277"/>
    </row>
    <row r="128" spans="1:14" ht="25.5" x14ac:dyDescent="0.25">
      <c r="A128" s="245" t="s">
        <v>710</v>
      </c>
      <c r="B128" s="248" t="s">
        <v>711</v>
      </c>
      <c r="C128" s="251" t="s">
        <v>152</v>
      </c>
      <c r="D128" s="246">
        <v>1</v>
      </c>
      <c r="E128" s="246">
        <v>9.7200000000000006</v>
      </c>
      <c r="F128" s="250">
        <f t="shared" si="9"/>
        <v>9.7200000000000006</v>
      </c>
      <c r="G128" s="265"/>
      <c r="H128" s="320"/>
      <c r="I128" s="252"/>
      <c r="J128" s="250"/>
      <c r="K128" s="247"/>
      <c r="L128" s="247"/>
      <c r="M128" s="247"/>
      <c r="N128" s="277"/>
    </row>
    <row r="129" spans="1:14" ht="25.5" x14ac:dyDescent="0.25">
      <c r="A129" s="245" t="s">
        <v>712</v>
      </c>
      <c r="B129" s="248" t="s">
        <v>713</v>
      </c>
      <c r="C129" s="251" t="s">
        <v>152</v>
      </c>
      <c r="D129" s="246">
        <v>6</v>
      </c>
      <c r="E129" s="246">
        <v>1.1719999999999999</v>
      </c>
      <c r="F129" s="250">
        <f t="shared" si="9"/>
        <v>7.032</v>
      </c>
      <c r="G129" s="265"/>
      <c r="H129" s="320"/>
      <c r="I129" s="252"/>
      <c r="J129" s="250"/>
      <c r="K129" s="247"/>
      <c r="L129" s="247"/>
      <c r="M129" s="247"/>
      <c r="N129" s="277"/>
    </row>
    <row r="130" spans="1:14" ht="38.25" x14ac:dyDescent="0.25">
      <c r="A130" s="245" t="s">
        <v>714</v>
      </c>
      <c r="B130" s="248" t="s">
        <v>715</v>
      </c>
      <c r="C130" s="251" t="s">
        <v>152</v>
      </c>
      <c r="D130" s="246">
        <v>15</v>
      </c>
      <c r="E130" s="246">
        <v>15.147500000000001</v>
      </c>
      <c r="F130" s="250">
        <f t="shared" si="9"/>
        <v>227.21250000000001</v>
      </c>
      <c r="G130" s="265"/>
      <c r="H130" s="320"/>
      <c r="I130" s="252"/>
      <c r="J130" s="250"/>
      <c r="K130" s="247"/>
      <c r="L130" s="247"/>
      <c r="M130" s="247"/>
      <c r="N130" s="277"/>
    </row>
    <row r="131" spans="1:14" ht="38.25" x14ac:dyDescent="0.25">
      <c r="A131" s="245" t="s">
        <v>716</v>
      </c>
      <c r="B131" s="248" t="s">
        <v>717</v>
      </c>
      <c r="C131" s="251" t="s">
        <v>152</v>
      </c>
      <c r="D131" s="246">
        <v>1</v>
      </c>
      <c r="E131" s="246">
        <v>27.18</v>
      </c>
      <c r="F131" s="250">
        <f t="shared" si="9"/>
        <v>27.18</v>
      </c>
      <c r="G131" s="265"/>
      <c r="H131" s="320"/>
      <c r="I131" s="252"/>
      <c r="J131" s="250"/>
      <c r="K131" s="247"/>
      <c r="L131" s="247"/>
      <c r="M131" s="247"/>
      <c r="N131" s="277"/>
    </row>
    <row r="132" spans="1:14" ht="25.5" x14ac:dyDescent="0.25">
      <c r="A132" s="245" t="s">
        <v>718</v>
      </c>
      <c r="B132" s="248" t="s">
        <v>719</v>
      </c>
      <c r="C132" s="251" t="s">
        <v>152</v>
      </c>
      <c r="D132" s="246">
        <v>6</v>
      </c>
      <c r="E132" s="246">
        <v>8.4939999999999998</v>
      </c>
      <c r="F132" s="250">
        <f t="shared" si="9"/>
        <v>50.963999999999999</v>
      </c>
      <c r="G132" s="265"/>
      <c r="H132" s="320"/>
      <c r="I132" s="252"/>
      <c r="J132" s="250"/>
      <c r="K132" s="247"/>
      <c r="L132" s="247"/>
      <c r="M132" s="247"/>
      <c r="N132" s="277"/>
    </row>
    <row r="133" spans="1:14" ht="25.5" x14ac:dyDescent="0.25">
      <c r="A133" s="245" t="s">
        <v>720</v>
      </c>
      <c r="B133" s="248" t="s">
        <v>711</v>
      </c>
      <c r="C133" s="251" t="s">
        <v>152</v>
      </c>
      <c r="D133" s="246">
        <v>2</v>
      </c>
      <c r="E133" s="246">
        <v>9.7200000000000006</v>
      </c>
      <c r="F133" s="250">
        <f t="shared" si="9"/>
        <v>19.440000000000001</v>
      </c>
      <c r="G133" s="265"/>
      <c r="H133" s="320"/>
      <c r="I133" s="252"/>
      <c r="J133" s="250"/>
      <c r="K133" s="247"/>
      <c r="L133" s="247"/>
      <c r="M133" s="247"/>
      <c r="N133" s="277"/>
    </row>
    <row r="134" spans="1:14" ht="25.5" x14ac:dyDescent="0.25">
      <c r="A134" s="245" t="s">
        <v>721</v>
      </c>
      <c r="B134" s="248" t="s">
        <v>722</v>
      </c>
      <c r="C134" s="251" t="s">
        <v>152</v>
      </c>
      <c r="D134" s="246">
        <v>2</v>
      </c>
      <c r="E134" s="246">
        <v>4.18</v>
      </c>
      <c r="F134" s="250">
        <f t="shared" si="9"/>
        <v>8.36</v>
      </c>
      <c r="G134" s="265"/>
      <c r="H134" s="320"/>
      <c r="I134" s="252"/>
      <c r="J134" s="250"/>
      <c r="K134" s="247"/>
      <c r="L134" s="247"/>
      <c r="M134" s="247"/>
      <c r="N134" s="277"/>
    </row>
    <row r="135" spans="1:14" ht="25.5" x14ac:dyDescent="0.25">
      <c r="A135" s="245" t="s">
        <v>723</v>
      </c>
      <c r="B135" s="248" t="s">
        <v>724</v>
      </c>
      <c r="C135" s="251" t="s">
        <v>152</v>
      </c>
      <c r="D135" s="246">
        <v>2</v>
      </c>
      <c r="E135" s="246">
        <v>5.4059999999999997</v>
      </c>
      <c r="F135" s="250">
        <f t="shared" si="9"/>
        <v>10.811999999999999</v>
      </c>
      <c r="G135" s="265"/>
      <c r="H135" s="320"/>
      <c r="I135" s="252"/>
      <c r="J135" s="250"/>
      <c r="K135" s="247"/>
      <c r="L135" s="247"/>
      <c r="M135" s="247"/>
      <c r="N135" s="277"/>
    </row>
    <row r="136" spans="1:14" ht="25.5" x14ac:dyDescent="0.25">
      <c r="A136" s="245" t="s">
        <v>725</v>
      </c>
      <c r="B136" s="248" t="s">
        <v>726</v>
      </c>
      <c r="C136" s="251" t="s">
        <v>152</v>
      </c>
      <c r="D136" s="246">
        <v>1</v>
      </c>
      <c r="E136" s="246">
        <v>2.54</v>
      </c>
      <c r="F136" s="250">
        <f t="shared" si="9"/>
        <v>2.54</v>
      </c>
      <c r="G136" s="265"/>
      <c r="H136" s="320"/>
      <c r="I136" s="252"/>
      <c r="J136" s="250"/>
      <c r="K136" s="247"/>
      <c r="L136" s="247"/>
      <c r="M136" s="247"/>
      <c r="N136" s="277"/>
    </row>
    <row r="137" spans="1:14" ht="25.5" x14ac:dyDescent="0.25">
      <c r="A137" s="245" t="s">
        <v>727</v>
      </c>
      <c r="B137" s="248" t="s">
        <v>728</v>
      </c>
      <c r="C137" s="251" t="s">
        <v>152</v>
      </c>
      <c r="D137" s="246">
        <v>6</v>
      </c>
      <c r="E137" s="246">
        <v>12.782</v>
      </c>
      <c r="F137" s="250">
        <f t="shared" si="9"/>
        <v>76.692000000000007</v>
      </c>
      <c r="G137" s="265"/>
      <c r="H137" s="320"/>
      <c r="I137" s="252"/>
      <c r="J137" s="250"/>
      <c r="K137" s="247"/>
      <c r="L137" s="247"/>
      <c r="M137" s="247"/>
      <c r="N137" s="277"/>
    </row>
    <row r="138" spans="1:14" ht="25.5" x14ac:dyDescent="0.25">
      <c r="A138" s="245" t="s">
        <v>729</v>
      </c>
      <c r="B138" s="248" t="s">
        <v>730</v>
      </c>
      <c r="C138" s="251" t="s">
        <v>152</v>
      </c>
      <c r="D138" s="246">
        <v>5</v>
      </c>
      <c r="E138" s="246">
        <v>10.922000000000001</v>
      </c>
      <c r="F138" s="250">
        <f t="shared" si="9"/>
        <v>54.61</v>
      </c>
      <c r="G138" s="265"/>
      <c r="H138" s="320"/>
      <c r="I138" s="252"/>
      <c r="J138" s="250"/>
      <c r="K138" s="247"/>
      <c r="L138" s="247"/>
      <c r="M138" s="247"/>
      <c r="N138" s="277"/>
    </row>
    <row r="139" spans="1:14" ht="25.5" x14ac:dyDescent="0.25">
      <c r="A139" s="245" t="s">
        <v>731</v>
      </c>
      <c r="B139" s="248" t="s">
        <v>732</v>
      </c>
      <c r="C139" s="251" t="s">
        <v>152</v>
      </c>
      <c r="D139" s="246">
        <v>5</v>
      </c>
      <c r="E139" s="246">
        <v>12.287000000000001</v>
      </c>
      <c r="F139" s="250">
        <f t="shared" si="9"/>
        <v>61.435000000000002</v>
      </c>
      <c r="G139" s="265"/>
      <c r="H139" s="320"/>
      <c r="I139" s="252"/>
      <c r="J139" s="250"/>
      <c r="K139" s="247"/>
      <c r="L139" s="247"/>
      <c r="M139" s="247"/>
      <c r="N139" s="277"/>
    </row>
    <row r="140" spans="1:14" ht="25.5" x14ac:dyDescent="0.25">
      <c r="A140" s="245" t="s">
        <v>733</v>
      </c>
      <c r="B140" s="248" t="s">
        <v>734</v>
      </c>
      <c r="C140" s="251" t="s">
        <v>152</v>
      </c>
      <c r="D140" s="246">
        <v>8</v>
      </c>
      <c r="E140" s="246">
        <v>9.3529999999999998</v>
      </c>
      <c r="F140" s="250">
        <f t="shared" si="9"/>
        <v>74.823999999999998</v>
      </c>
      <c r="G140" s="265"/>
      <c r="H140" s="320"/>
      <c r="I140" s="252"/>
      <c r="J140" s="250"/>
      <c r="K140" s="247"/>
      <c r="L140" s="247"/>
      <c r="M140" s="247"/>
      <c r="N140" s="277"/>
    </row>
    <row r="141" spans="1:14" ht="25.5" x14ac:dyDescent="0.25">
      <c r="A141" s="245" t="s">
        <v>735</v>
      </c>
      <c r="B141" s="248" t="s">
        <v>736</v>
      </c>
      <c r="C141" s="251" t="s">
        <v>152</v>
      </c>
      <c r="D141" s="246">
        <v>3</v>
      </c>
      <c r="E141" s="246">
        <v>14.75</v>
      </c>
      <c r="F141" s="250">
        <f t="shared" si="9"/>
        <v>44.25</v>
      </c>
      <c r="G141" s="265"/>
      <c r="H141" s="320"/>
      <c r="I141" s="252"/>
      <c r="J141" s="250"/>
      <c r="K141" s="247"/>
      <c r="L141" s="247"/>
      <c r="M141" s="247"/>
      <c r="N141" s="277"/>
    </row>
    <row r="142" spans="1:14" ht="38.25" x14ac:dyDescent="0.25">
      <c r="A142" s="245" t="s">
        <v>737</v>
      </c>
      <c r="B142" s="248" t="s">
        <v>738</v>
      </c>
      <c r="C142" s="251" t="s">
        <v>152</v>
      </c>
      <c r="D142" s="246">
        <v>3</v>
      </c>
      <c r="E142" s="246">
        <v>23.532</v>
      </c>
      <c r="F142" s="250">
        <f t="shared" si="9"/>
        <v>70.596000000000004</v>
      </c>
      <c r="G142" s="265"/>
      <c r="H142" s="320"/>
      <c r="I142" s="252"/>
      <c r="J142" s="250"/>
      <c r="K142" s="247"/>
      <c r="L142" s="247"/>
      <c r="M142" s="247"/>
      <c r="N142" s="277"/>
    </row>
    <row r="143" spans="1:14" ht="25.5" x14ac:dyDescent="0.25">
      <c r="A143" s="245" t="s">
        <v>739</v>
      </c>
      <c r="B143" s="248" t="s">
        <v>740</v>
      </c>
      <c r="C143" s="251" t="s">
        <v>152</v>
      </c>
      <c r="D143" s="246">
        <v>3</v>
      </c>
      <c r="E143" s="246">
        <v>17.350000000000001</v>
      </c>
      <c r="F143" s="250">
        <f t="shared" si="9"/>
        <v>52.050000000000004</v>
      </c>
      <c r="G143" s="265"/>
      <c r="H143" s="320"/>
      <c r="I143" s="252"/>
      <c r="J143" s="250"/>
      <c r="K143" s="247"/>
      <c r="L143" s="247"/>
      <c r="M143" s="247"/>
      <c r="N143" s="277"/>
    </row>
    <row r="144" spans="1:14" ht="25.5" x14ac:dyDescent="0.25">
      <c r="A144" s="245" t="s">
        <v>741</v>
      </c>
      <c r="B144" s="248" t="s">
        <v>742</v>
      </c>
      <c r="C144" s="251" t="s">
        <v>152</v>
      </c>
      <c r="D144" s="246">
        <v>5</v>
      </c>
      <c r="E144" s="246">
        <v>19.242000000000001</v>
      </c>
      <c r="F144" s="250">
        <f t="shared" si="9"/>
        <v>96.210000000000008</v>
      </c>
      <c r="G144" s="265"/>
      <c r="H144" s="320"/>
      <c r="I144" s="252"/>
      <c r="J144" s="250"/>
      <c r="K144" s="247"/>
      <c r="L144" s="247"/>
      <c r="M144" s="247"/>
      <c r="N144" s="277"/>
    </row>
    <row r="145" spans="1:14" ht="25.5" x14ac:dyDescent="0.25">
      <c r="A145" s="245" t="s">
        <v>743</v>
      </c>
      <c r="B145" s="248" t="s">
        <v>744</v>
      </c>
      <c r="C145" s="251" t="s">
        <v>189</v>
      </c>
      <c r="D145" s="246">
        <v>68.069999999999993</v>
      </c>
      <c r="E145" s="246">
        <v>17.286300000000001</v>
      </c>
      <c r="F145" s="250">
        <f t="shared" si="9"/>
        <v>1176.678441</v>
      </c>
      <c r="G145" s="265"/>
      <c r="H145" s="320"/>
      <c r="I145" s="252"/>
      <c r="J145" s="250"/>
      <c r="K145" s="247"/>
      <c r="L145" s="247"/>
      <c r="M145" s="247"/>
      <c r="N145" s="277"/>
    </row>
    <row r="146" spans="1:14" ht="25.5" x14ac:dyDescent="0.25">
      <c r="A146" s="245" t="s">
        <v>745</v>
      </c>
      <c r="B146" s="248" t="s">
        <v>746</v>
      </c>
      <c r="C146" s="251" t="s">
        <v>152</v>
      </c>
      <c r="D146" s="246">
        <v>1</v>
      </c>
      <c r="E146" s="246">
        <v>30.84</v>
      </c>
      <c r="F146" s="250">
        <f t="shared" si="9"/>
        <v>30.84</v>
      </c>
      <c r="G146" s="265"/>
      <c r="H146" s="320"/>
      <c r="I146" s="252"/>
      <c r="J146" s="250"/>
      <c r="K146" s="247"/>
      <c r="L146" s="247"/>
      <c r="M146" s="247"/>
      <c r="N146" s="277"/>
    </row>
    <row r="147" spans="1:14" ht="25.5" x14ac:dyDescent="0.25">
      <c r="A147" s="245" t="s">
        <v>747</v>
      </c>
      <c r="B147" s="248" t="s">
        <v>748</v>
      </c>
      <c r="C147" s="251" t="s">
        <v>189</v>
      </c>
      <c r="D147" s="246">
        <v>19.43</v>
      </c>
      <c r="E147" s="246">
        <v>25.994</v>
      </c>
      <c r="F147" s="250">
        <f t="shared" si="9"/>
        <v>505.06342000000001</v>
      </c>
      <c r="G147" s="265"/>
      <c r="H147" s="320"/>
      <c r="I147" s="252"/>
      <c r="J147" s="250"/>
      <c r="K147" s="247"/>
      <c r="L147" s="247"/>
      <c r="M147" s="247"/>
      <c r="N147" s="277"/>
    </row>
    <row r="148" spans="1:14" ht="25.5" x14ac:dyDescent="0.25">
      <c r="A148" s="245" t="s">
        <v>749</v>
      </c>
      <c r="B148" s="248" t="s">
        <v>750</v>
      </c>
      <c r="C148" s="251" t="s">
        <v>152</v>
      </c>
      <c r="D148" s="246">
        <v>5</v>
      </c>
      <c r="E148" s="246">
        <v>32.54</v>
      </c>
      <c r="F148" s="250">
        <f t="shared" si="9"/>
        <v>162.69999999999999</v>
      </c>
      <c r="G148" s="265"/>
      <c r="H148" s="320"/>
      <c r="I148" s="252"/>
      <c r="J148" s="250"/>
      <c r="K148" s="247"/>
      <c r="L148" s="247"/>
      <c r="M148" s="247"/>
      <c r="N148" s="277"/>
    </row>
    <row r="149" spans="1:14" ht="25.5" x14ac:dyDescent="0.25">
      <c r="A149" s="245" t="s">
        <v>751</v>
      </c>
      <c r="B149" s="248" t="s">
        <v>752</v>
      </c>
      <c r="C149" s="251" t="s">
        <v>189</v>
      </c>
      <c r="D149" s="246">
        <v>6.31</v>
      </c>
      <c r="E149" s="246">
        <v>17.48</v>
      </c>
      <c r="F149" s="250">
        <f t="shared" si="9"/>
        <v>110.2988</v>
      </c>
      <c r="G149" s="265"/>
      <c r="H149" s="320"/>
      <c r="I149" s="252"/>
      <c r="J149" s="250"/>
      <c r="K149" s="247"/>
      <c r="L149" s="247"/>
      <c r="M149" s="247"/>
      <c r="N149" s="277"/>
    </row>
    <row r="150" spans="1:14" ht="25.5" x14ac:dyDescent="0.25">
      <c r="A150" s="245" t="s">
        <v>753</v>
      </c>
      <c r="B150" s="248" t="s">
        <v>754</v>
      </c>
      <c r="C150" s="251" t="s">
        <v>189</v>
      </c>
      <c r="D150" s="246">
        <v>53.96</v>
      </c>
      <c r="E150" s="246">
        <v>20.070699999999999</v>
      </c>
      <c r="F150" s="250">
        <f t="shared" si="9"/>
        <v>1083.0149719999999</v>
      </c>
      <c r="G150" s="265"/>
      <c r="H150" s="320"/>
      <c r="I150" s="252"/>
      <c r="J150" s="250"/>
      <c r="K150" s="247"/>
      <c r="L150" s="247"/>
      <c r="M150" s="247"/>
      <c r="N150" s="277"/>
    </row>
    <row r="151" spans="1:14" ht="25.5" x14ac:dyDescent="0.25">
      <c r="A151" s="245" t="s">
        <v>755</v>
      </c>
      <c r="B151" s="248" t="s">
        <v>756</v>
      </c>
      <c r="C151" s="251" t="s">
        <v>152</v>
      </c>
      <c r="D151" s="246">
        <v>3</v>
      </c>
      <c r="E151" s="246">
        <v>93.7</v>
      </c>
      <c r="F151" s="250">
        <f t="shared" si="9"/>
        <v>281.10000000000002</v>
      </c>
      <c r="G151" s="265"/>
      <c r="H151" s="320"/>
      <c r="I151" s="252"/>
      <c r="J151" s="250"/>
      <c r="K151" s="247"/>
      <c r="L151" s="247"/>
      <c r="M151" s="247"/>
      <c r="N151" s="277"/>
    </row>
    <row r="152" spans="1:14" ht="25.5" x14ac:dyDescent="0.25">
      <c r="A152" s="245" t="s">
        <v>757</v>
      </c>
      <c r="B152" s="248" t="s">
        <v>758</v>
      </c>
      <c r="C152" s="251" t="s">
        <v>152</v>
      </c>
      <c r="D152" s="246">
        <v>3</v>
      </c>
      <c r="E152" s="246">
        <v>33.380000000000003</v>
      </c>
      <c r="F152" s="250">
        <f t="shared" si="9"/>
        <v>100.14000000000001</v>
      </c>
      <c r="G152" s="265"/>
      <c r="H152" s="320"/>
      <c r="I152" s="252"/>
      <c r="J152" s="250"/>
      <c r="K152" s="247"/>
      <c r="L152" s="247"/>
      <c r="M152" s="247"/>
      <c r="N152" s="277"/>
    </row>
    <row r="153" spans="1:14" ht="38.25" x14ac:dyDescent="0.25">
      <c r="A153" s="245" t="s">
        <v>759</v>
      </c>
      <c r="B153" s="248" t="s">
        <v>760</v>
      </c>
      <c r="C153" s="251" t="s">
        <v>152</v>
      </c>
      <c r="D153" s="246">
        <v>13</v>
      </c>
      <c r="E153" s="246">
        <v>97.59</v>
      </c>
      <c r="F153" s="250">
        <f t="shared" si="9"/>
        <v>1268.67</v>
      </c>
      <c r="G153" s="265"/>
      <c r="H153" s="320"/>
      <c r="I153" s="252"/>
      <c r="J153" s="250"/>
      <c r="K153" s="247"/>
      <c r="L153" s="247"/>
      <c r="M153" s="247"/>
      <c r="N153" s="277"/>
    </row>
    <row r="154" spans="1:14" ht="51" x14ac:dyDescent="0.25">
      <c r="A154" s="245" t="s">
        <v>761</v>
      </c>
      <c r="B154" s="248" t="s">
        <v>762</v>
      </c>
      <c r="C154" s="251" t="s">
        <v>152</v>
      </c>
      <c r="D154" s="246">
        <v>7</v>
      </c>
      <c r="E154" s="246">
        <v>119.113</v>
      </c>
      <c r="F154" s="250">
        <f t="shared" si="9"/>
        <v>833.79099999999994</v>
      </c>
      <c r="G154" s="265"/>
      <c r="H154" s="320"/>
      <c r="I154" s="252"/>
      <c r="J154" s="250"/>
      <c r="K154" s="247"/>
      <c r="L154" s="247"/>
      <c r="M154" s="247"/>
      <c r="N154" s="277"/>
    </row>
    <row r="155" spans="1:14" ht="51" x14ac:dyDescent="0.25">
      <c r="A155" s="245" t="s">
        <v>763</v>
      </c>
      <c r="B155" s="248" t="s">
        <v>764</v>
      </c>
      <c r="C155" s="251" t="s">
        <v>152</v>
      </c>
      <c r="D155" s="246">
        <v>2</v>
      </c>
      <c r="E155" s="246">
        <v>109.286</v>
      </c>
      <c r="F155" s="250">
        <f t="shared" si="9"/>
        <v>218.572</v>
      </c>
      <c r="G155" s="265"/>
      <c r="H155" s="320"/>
      <c r="I155" s="252"/>
      <c r="J155" s="250"/>
      <c r="K155" s="247"/>
      <c r="L155" s="247"/>
      <c r="M155" s="247"/>
      <c r="N155" s="277"/>
    </row>
    <row r="156" spans="1:14" x14ac:dyDescent="0.25">
      <c r="A156" s="476"/>
      <c r="B156" s="477"/>
      <c r="C156" s="477"/>
      <c r="D156" s="477"/>
      <c r="E156" s="477"/>
      <c r="F156" s="477"/>
      <c r="G156" s="477"/>
      <c r="H156" s="477"/>
      <c r="I156" s="477"/>
      <c r="J156" s="477"/>
      <c r="K156" s="477"/>
      <c r="L156" s="477"/>
      <c r="M156" s="478"/>
      <c r="N156" s="277"/>
    </row>
    <row r="157" spans="1:14" s="361" customFormat="1" ht="18" customHeight="1" x14ac:dyDescent="0.25">
      <c r="A157" s="338" t="s">
        <v>765</v>
      </c>
      <c r="B157" s="503" t="s">
        <v>766</v>
      </c>
      <c r="C157" s="504"/>
      <c r="D157" s="504"/>
      <c r="E157" s="505"/>
      <c r="F157" s="339">
        <f>SUM(F158,F173,F179,F189)</f>
        <v>38223.718613999998</v>
      </c>
      <c r="G157" s="340"/>
      <c r="H157" s="341"/>
      <c r="I157" s="342"/>
      <c r="J157" s="359"/>
      <c r="K157" s="372">
        <f>K158+K173+L179+L189</f>
        <v>0</v>
      </c>
      <c r="L157" s="372">
        <f>L158+L173+L179+L189</f>
        <v>0</v>
      </c>
      <c r="M157" s="372">
        <f>M158+M173+M179+M189</f>
        <v>0</v>
      </c>
      <c r="N157" s="360"/>
    </row>
    <row r="158" spans="1:14" s="409" customFormat="1" ht="18" customHeight="1" x14ac:dyDescent="0.25">
      <c r="A158" s="410" t="s">
        <v>195</v>
      </c>
      <c r="B158" s="494" t="s">
        <v>767</v>
      </c>
      <c r="C158" s="495"/>
      <c r="D158" s="495"/>
      <c r="E158" s="496"/>
      <c r="F158" s="419">
        <f>SUM(F159:F172)-0.01</f>
        <v>10189.055524000001</v>
      </c>
      <c r="G158" s="403"/>
      <c r="H158" s="420"/>
      <c r="I158" s="405"/>
      <c r="J158" s="421"/>
      <c r="K158" s="407">
        <f>SUM(K159:K172)</f>
        <v>0</v>
      </c>
      <c r="L158" s="407">
        <f>SUM(L159:L172)</f>
        <v>0</v>
      </c>
      <c r="M158" s="407">
        <f>SUM(M159:M172)</f>
        <v>0</v>
      </c>
      <c r="N158" s="360"/>
    </row>
    <row r="159" spans="1:14" ht="38.25" x14ac:dyDescent="0.25">
      <c r="A159" s="245" t="s">
        <v>768</v>
      </c>
      <c r="B159" s="248" t="s">
        <v>769</v>
      </c>
      <c r="C159" s="245" t="s">
        <v>152</v>
      </c>
      <c r="D159" s="246">
        <v>36</v>
      </c>
      <c r="E159" s="246">
        <v>9.718</v>
      </c>
      <c r="F159" s="250">
        <f t="shared" ref="F159:F192" si="10">E159*D159</f>
        <v>349.84800000000001</v>
      </c>
      <c r="G159" s="265"/>
      <c r="H159" s="320"/>
      <c r="I159" s="252"/>
      <c r="J159" s="250"/>
      <c r="K159" s="247"/>
      <c r="L159" s="247"/>
      <c r="M159" s="247"/>
      <c r="N159" s="277"/>
    </row>
    <row r="160" spans="1:14" ht="25.5" x14ac:dyDescent="0.25">
      <c r="A160" s="245" t="s">
        <v>770</v>
      </c>
      <c r="B160" s="248" t="s">
        <v>771</v>
      </c>
      <c r="C160" s="245" t="s">
        <v>152</v>
      </c>
      <c r="D160" s="246">
        <v>36</v>
      </c>
      <c r="E160" s="246">
        <v>12.2445</v>
      </c>
      <c r="F160" s="250">
        <f t="shared" si="10"/>
        <v>440.80200000000002</v>
      </c>
      <c r="G160" s="265"/>
      <c r="H160" s="320"/>
      <c r="I160" s="252"/>
      <c r="J160" s="250"/>
      <c r="K160" s="247"/>
      <c r="L160" s="247"/>
      <c r="M160" s="247"/>
      <c r="N160" s="277"/>
    </row>
    <row r="161" spans="1:14" ht="38.25" x14ac:dyDescent="0.25">
      <c r="A161" s="245" t="s">
        <v>772</v>
      </c>
      <c r="B161" s="248" t="s">
        <v>773</v>
      </c>
      <c r="C161" s="245" t="s">
        <v>152</v>
      </c>
      <c r="D161" s="246">
        <v>13</v>
      </c>
      <c r="E161" s="246">
        <v>5.7729999999999997</v>
      </c>
      <c r="F161" s="250">
        <f t="shared" si="10"/>
        <v>75.048999999999992</v>
      </c>
      <c r="G161" s="265"/>
      <c r="H161" s="320"/>
      <c r="I161" s="252"/>
      <c r="J161" s="250"/>
      <c r="K161" s="247"/>
      <c r="L161" s="247"/>
      <c r="M161" s="247"/>
      <c r="N161" s="277"/>
    </row>
    <row r="162" spans="1:14" ht="38.25" x14ac:dyDescent="0.25">
      <c r="A162" s="245" t="s">
        <v>774</v>
      </c>
      <c r="B162" s="248" t="s">
        <v>775</v>
      </c>
      <c r="C162" s="245" t="s">
        <v>152</v>
      </c>
      <c r="D162" s="246">
        <v>17</v>
      </c>
      <c r="E162" s="246">
        <v>10.0945</v>
      </c>
      <c r="F162" s="250">
        <f t="shared" si="10"/>
        <v>171.60650000000001</v>
      </c>
      <c r="G162" s="265"/>
      <c r="H162" s="320"/>
      <c r="I162" s="252"/>
      <c r="J162" s="250"/>
      <c r="K162" s="247"/>
      <c r="L162" s="247"/>
      <c r="M162" s="247"/>
      <c r="N162" s="277"/>
    </row>
    <row r="163" spans="1:14" ht="38.25" x14ac:dyDescent="0.25">
      <c r="A163" s="245" t="s">
        <v>776</v>
      </c>
      <c r="B163" s="248" t="s">
        <v>777</v>
      </c>
      <c r="C163" s="245" t="s">
        <v>152</v>
      </c>
      <c r="D163" s="246">
        <v>3</v>
      </c>
      <c r="E163" s="246">
        <v>22.027999999999999</v>
      </c>
      <c r="F163" s="250">
        <f t="shared" si="10"/>
        <v>66.084000000000003</v>
      </c>
      <c r="G163" s="265"/>
      <c r="H163" s="320"/>
      <c r="I163" s="252"/>
      <c r="J163" s="250"/>
      <c r="K163" s="247"/>
      <c r="L163" s="247"/>
      <c r="M163" s="247"/>
      <c r="N163" s="277"/>
    </row>
    <row r="164" spans="1:14" ht="38.25" x14ac:dyDescent="0.25">
      <c r="A164" s="245" t="s">
        <v>778</v>
      </c>
      <c r="B164" s="248" t="s">
        <v>779</v>
      </c>
      <c r="C164" s="245" t="s">
        <v>152</v>
      </c>
      <c r="D164" s="246">
        <v>7</v>
      </c>
      <c r="E164" s="246">
        <v>22.091999999999999</v>
      </c>
      <c r="F164" s="250">
        <f t="shared" si="10"/>
        <v>154.64400000000001</v>
      </c>
      <c r="G164" s="265"/>
      <c r="H164" s="320"/>
      <c r="I164" s="252"/>
      <c r="J164" s="250"/>
      <c r="K164" s="247"/>
      <c r="L164" s="247"/>
      <c r="M164" s="247"/>
      <c r="N164" s="277"/>
    </row>
    <row r="165" spans="1:14" ht="38.25" x14ac:dyDescent="0.25">
      <c r="A165" s="245" t="s">
        <v>780</v>
      </c>
      <c r="B165" s="248" t="s">
        <v>781</v>
      </c>
      <c r="C165" s="245" t="s">
        <v>152</v>
      </c>
      <c r="D165" s="246">
        <v>2</v>
      </c>
      <c r="E165" s="246">
        <v>9.3529999999999998</v>
      </c>
      <c r="F165" s="250">
        <f t="shared" si="10"/>
        <v>18.706</v>
      </c>
      <c r="G165" s="265"/>
      <c r="H165" s="320"/>
      <c r="I165" s="252"/>
      <c r="J165" s="250"/>
      <c r="K165" s="247"/>
      <c r="L165" s="247"/>
      <c r="M165" s="247"/>
      <c r="N165" s="277"/>
    </row>
    <row r="166" spans="1:14" ht="25.5" x14ac:dyDescent="0.25">
      <c r="A166" s="245" t="s">
        <v>782</v>
      </c>
      <c r="B166" s="248" t="s">
        <v>783</v>
      </c>
      <c r="C166" s="245" t="s">
        <v>152</v>
      </c>
      <c r="D166" s="246">
        <v>12</v>
      </c>
      <c r="E166" s="246">
        <v>56.987000000000002</v>
      </c>
      <c r="F166" s="250">
        <f t="shared" si="10"/>
        <v>683.84400000000005</v>
      </c>
      <c r="G166" s="265"/>
      <c r="H166" s="320"/>
      <c r="I166" s="252"/>
      <c r="J166" s="250"/>
      <c r="K166" s="247"/>
      <c r="L166" s="247"/>
      <c r="M166" s="247"/>
      <c r="N166" s="277"/>
    </row>
    <row r="167" spans="1:14" ht="38.25" x14ac:dyDescent="0.25">
      <c r="A167" s="245" t="s">
        <v>784</v>
      </c>
      <c r="B167" s="248" t="s">
        <v>785</v>
      </c>
      <c r="C167" s="245" t="s">
        <v>152</v>
      </c>
      <c r="D167" s="246">
        <v>5</v>
      </c>
      <c r="E167" s="246">
        <v>20.425999999999998</v>
      </c>
      <c r="F167" s="250">
        <f t="shared" si="10"/>
        <v>102.13</v>
      </c>
      <c r="G167" s="265"/>
      <c r="H167" s="320"/>
      <c r="I167" s="252"/>
      <c r="J167" s="250"/>
      <c r="K167" s="247"/>
      <c r="L167" s="247"/>
      <c r="M167" s="247"/>
      <c r="N167" s="277"/>
    </row>
    <row r="168" spans="1:14" ht="38.25" x14ac:dyDescent="0.25">
      <c r="A168" s="245" t="s">
        <v>786</v>
      </c>
      <c r="B168" s="248" t="s">
        <v>787</v>
      </c>
      <c r="C168" s="245" t="s">
        <v>189</v>
      </c>
      <c r="D168" s="246">
        <v>55.81</v>
      </c>
      <c r="E168" s="246">
        <v>16.609000000000002</v>
      </c>
      <c r="F168" s="250">
        <f t="shared" si="10"/>
        <v>926.94829000000016</v>
      </c>
      <c r="G168" s="265"/>
      <c r="H168" s="320"/>
      <c r="I168" s="252"/>
      <c r="J168" s="250"/>
      <c r="K168" s="247"/>
      <c r="L168" s="247"/>
      <c r="M168" s="247"/>
      <c r="N168" s="277"/>
    </row>
    <row r="169" spans="1:14" ht="25.5" x14ac:dyDescent="0.25">
      <c r="A169" s="245" t="s">
        <v>788</v>
      </c>
      <c r="B169" s="248" t="s">
        <v>789</v>
      </c>
      <c r="C169" s="245" t="s">
        <v>152</v>
      </c>
      <c r="D169" s="246">
        <v>10</v>
      </c>
      <c r="E169" s="246">
        <v>22.338999999999999</v>
      </c>
      <c r="F169" s="250">
        <f t="shared" si="10"/>
        <v>223.39</v>
      </c>
      <c r="G169" s="265"/>
      <c r="H169" s="320"/>
      <c r="I169" s="252"/>
      <c r="J169" s="250"/>
      <c r="K169" s="247"/>
      <c r="L169" s="247"/>
      <c r="M169" s="247"/>
      <c r="N169" s="277"/>
    </row>
    <row r="170" spans="1:14" ht="38.25" x14ac:dyDescent="0.25">
      <c r="A170" s="245" t="s">
        <v>790</v>
      </c>
      <c r="B170" s="248" t="s">
        <v>791</v>
      </c>
      <c r="C170" s="245" t="s">
        <v>189</v>
      </c>
      <c r="D170" s="246">
        <v>56.63</v>
      </c>
      <c r="E170" s="246">
        <v>25.316800000000001</v>
      </c>
      <c r="F170" s="250">
        <f t="shared" si="10"/>
        <v>1433.690384</v>
      </c>
      <c r="G170" s="265"/>
      <c r="H170" s="320"/>
      <c r="I170" s="252"/>
      <c r="J170" s="250"/>
      <c r="K170" s="247"/>
      <c r="L170" s="247"/>
      <c r="M170" s="247"/>
      <c r="N170" s="277"/>
    </row>
    <row r="171" spans="1:14" ht="38.25" x14ac:dyDescent="0.25">
      <c r="A171" s="245" t="s">
        <v>792</v>
      </c>
      <c r="B171" s="248" t="s">
        <v>793</v>
      </c>
      <c r="C171" s="245" t="s">
        <v>189</v>
      </c>
      <c r="D171" s="246">
        <v>1.7</v>
      </c>
      <c r="E171" s="246">
        <v>38.14</v>
      </c>
      <c r="F171" s="250">
        <f t="shared" si="10"/>
        <v>64.837999999999994</v>
      </c>
      <c r="G171" s="265"/>
      <c r="H171" s="320"/>
      <c r="I171" s="252"/>
      <c r="J171" s="250"/>
      <c r="K171" s="247"/>
      <c r="L171" s="247"/>
      <c r="M171" s="247"/>
      <c r="N171" s="277"/>
    </row>
    <row r="172" spans="1:14" ht="38.25" x14ac:dyDescent="0.25">
      <c r="A172" s="245" t="s">
        <v>794</v>
      </c>
      <c r="B172" s="248" t="s">
        <v>795</v>
      </c>
      <c r="C172" s="245" t="s">
        <v>189</v>
      </c>
      <c r="D172" s="246">
        <v>114.5</v>
      </c>
      <c r="E172" s="246">
        <v>47.838299999999997</v>
      </c>
      <c r="F172" s="250">
        <f t="shared" si="10"/>
        <v>5477.4853499999999</v>
      </c>
      <c r="G172" s="265"/>
      <c r="H172" s="320"/>
      <c r="I172" s="252"/>
      <c r="J172" s="250"/>
      <c r="K172" s="247"/>
      <c r="L172" s="247"/>
      <c r="M172" s="247"/>
      <c r="N172" s="277"/>
    </row>
    <row r="173" spans="1:14" s="409" customFormat="1" ht="18.75" x14ac:dyDescent="0.25">
      <c r="A173" s="410" t="s">
        <v>198</v>
      </c>
      <c r="B173" s="494" t="s">
        <v>796</v>
      </c>
      <c r="C173" s="495"/>
      <c r="D173" s="495"/>
      <c r="E173" s="496"/>
      <c r="F173" s="402">
        <f>SUM(F174:F178)</f>
        <v>4291.3077999999996</v>
      </c>
      <c r="G173" s="403"/>
      <c r="H173" s="404"/>
      <c r="I173" s="405"/>
      <c r="J173" s="406"/>
      <c r="K173" s="407">
        <f>SUM(K174:K178)</f>
        <v>0</v>
      </c>
      <c r="L173" s="407">
        <f>SUM(L174:L178)</f>
        <v>0</v>
      </c>
      <c r="M173" s="407">
        <f>SUM(M174:M178)</f>
        <v>0</v>
      </c>
      <c r="N173" s="360"/>
    </row>
    <row r="174" spans="1:14" ht="25.5" x14ac:dyDescent="0.25">
      <c r="A174" s="245" t="s">
        <v>797</v>
      </c>
      <c r="B174" s="248" t="s">
        <v>798</v>
      </c>
      <c r="C174" s="245" t="s">
        <v>152</v>
      </c>
      <c r="D174" s="246">
        <v>13</v>
      </c>
      <c r="E174" s="246">
        <v>191.83699999999999</v>
      </c>
      <c r="F174" s="250">
        <f t="shared" si="10"/>
        <v>2493.8809999999999</v>
      </c>
      <c r="G174" s="265"/>
      <c r="H174" s="320"/>
      <c r="I174" s="252"/>
      <c r="J174" s="250"/>
      <c r="K174" s="247"/>
      <c r="L174" s="247"/>
      <c r="M174" s="247"/>
      <c r="N174" s="277"/>
    </row>
    <row r="175" spans="1:14" ht="38.25" x14ac:dyDescent="0.25">
      <c r="A175" s="245" t="s">
        <v>799</v>
      </c>
      <c r="B175" s="248" t="s">
        <v>800</v>
      </c>
      <c r="C175" s="245" t="s">
        <v>152</v>
      </c>
      <c r="D175" s="246">
        <v>24</v>
      </c>
      <c r="E175" s="246">
        <v>29.09</v>
      </c>
      <c r="F175" s="250">
        <f t="shared" si="10"/>
        <v>698.16</v>
      </c>
      <c r="G175" s="265"/>
      <c r="H175" s="320"/>
      <c r="I175" s="252"/>
      <c r="J175" s="250"/>
      <c r="K175" s="247"/>
      <c r="L175" s="247"/>
      <c r="M175" s="247"/>
      <c r="N175" s="277"/>
    </row>
    <row r="176" spans="1:14" x14ac:dyDescent="0.25">
      <c r="A176" s="245" t="s">
        <v>801</v>
      </c>
      <c r="B176" s="248" t="s">
        <v>802</v>
      </c>
      <c r="C176" s="245" t="s">
        <v>152</v>
      </c>
      <c r="D176" s="246">
        <v>1</v>
      </c>
      <c r="E176" s="246">
        <v>351.77</v>
      </c>
      <c r="F176" s="250">
        <f t="shared" si="10"/>
        <v>351.77</v>
      </c>
      <c r="G176" s="265"/>
      <c r="H176" s="320"/>
      <c r="I176" s="252"/>
      <c r="J176" s="250"/>
      <c r="K176" s="247"/>
      <c r="L176" s="247"/>
      <c r="M176" s="247"/>
      <c r="N176" s="277"/>
    </row>
    <row r="177" spans="1:14" ht="25.5" x14ac:dyDescent="0.25">
      <c r="A177" s="245" t="s">
        <v>803</v>
      </c>
      <c r="B177" s="248" t="s">
        <v>804</v>
      </c>
      <c r="C177" s="245" t="s">
        <v>152</v>
      </c>
      <c r="D177" s="246">
        <v>31</v>
      </c>
      <c r="E177" s="246">
        <v>5.9233000000000002</v>
      </c>
      <c r="F177" s="250">
        <f t="shared" si="10"/>
        <v>183.6223</v>
      </c>
      <c r="G177" s="265"/>
      <c r="H177" s="320"/>
      <c r="I177" s="252"/>
      <c r="J177" s="250"/>
      <c r="K177" s="247"/>
      <c r="L177" s="247"/>
      <c r="M177" s="247"/>
      <c r="N177" s="277"/>
    </row>
    <row r="178" spans="1:14" ht="25.5" x14ac:dyDescent="0.25">
      <c r="A178" s="245" t="s">
        <v>805</v>
      </c>
      <c r="B178" s="248" t="s">
        <v>806</v>
      </c>
      <c r="C178" s="245" t="s">
        <v>152</v>
      </c>
      <c r="D178" s="246">
        <v>31</v>
      </c>
      <c r="E178" s="246">
        <v>18.189499999999999</v>
      </c>
      <c r="F178" s="250">
        <f t="shared" si="10"/>
        <v>563.87450000000001</v>
      </c>
      <c r="G178" s="265"/>
      <c r="H178" s="320"/>
      <c r="I178" s="252"/>
      <c r="J178" s="250"/>
      <c r="K178" s="247"/>
      <c r="L178" s="247"/>
      <c r="M178" s="247"/>
      <c r="N178" s="277"/>
    </row>
    <row r="179" spans="1:14" s="409" customFormat="1" ht="18.75" x14ac:dyDescent="0.25">
      <c r="A179" s="410" t="s">
        <v>201</v>
      </c>
      <c r="B179" s="494" t="s">
        <v>807</v>
      </c>
      <c r="C179" s="495"/>
      <c r="D179" s="495"/>
      <c r="E179" s="496"/>
      <c r="F179" s="402">
        <f>SUM(F180:F188)+0.01</f>
        <v>22831.880199999996</v>
      </c>
      <c r="G179" s="403"/>
      <c r="H179" s="404"/>
      <c r="I179" s="405"/>
      <c r="J179" s="406"/>
      <c r="K179" s="407">
        <f>SUM(K180:K188)</f>
        <v>0</v>
      </c>
      <c r="L179" s="407">
        <f>SUM(L180:L188)</f>
        <v>0</v>
      </c>
      <c r="M179" s="407">
        <f>SUM(M180:M188)</f>
        <v>0</v>
      </c>
      <c r="N179" s="360"/>
    </row>
    <row r="180" spans="1:14" ht="51" x14ac:dyDescent="0.25">
      <c r="A180" s="245" t="s">
        <v>808</v>
      </c>
      <c r="B180" s="248" t="s">
        <v>809</v>
      </c>
      <c r="C180" s="245" t="s">
        <v>152</v>
      </c>
      <c r="D180" s="246">
        <v>18</v>
      </c>
      <c r="E180" s="246">
        <v>202.738</v>
      </c>
      <c r="F180" s="250">
        <f t="shared" si="10"/>
        <v>3649.2840000000001</v>
      </c>
      <c r="G180" s="265"/>
      <c r="H180" s="320"/>
      <c r="I180" s="252"/>
      <c r="J180" s="250"/>
      <c r="K180" s="247"/>
      <c r="L180" s="247"/>
      <c r="M180" s="247"/>
      <c r="N180" s="277"/>
    </row>
    <row r="181" spans="1:14" ht="51" x14ac:dyDescent="0.25">
      <c r="A181" s="245" t="s">
        <v>810</v>
      </c>
      <c r="B181" s="248" t="s">
        <v>811</v>
      </c>
      <c r="C181" s="245" t="s">
        <v>152</v>
      </c>
      <c r="D181" s="246">
        <v>2</v>
      </c>
      <c r="E181" s="246">
        <v>755.27599999999995</v>
      </c>
      <c r="F181" s="250">
        <f t="shared" si="10"/>
        <v>1510.5519999999999</v>
      </c>
      <c r="G181" s="265"/>
      <c r="H181" s="320"/>
      <c r="I181" s="252"/>
      <c r="J181" s="250"/>
      <c r="K181" s="247"/>
      <c r="L181" s="247"/>
      <c r="M181" s="247"/>
      <c r="N181" s="277"/>
    </row>
    <row r="182" spans="1:14" ht="38.25" x14ac:dyDescent="0.25">
      <c r="A182" s="245" t="s">
        <v>812</v>
      </c>
      <c r="B182" s="248" t="s">
        <v>813</v>
      </c>
      <c r="C182" s="245" t="s">
        <v>189</v>
      </c>
      <c r="D182" s="246">
        <v>4.8</v>
      </c>
      <c r="E182" s="246">
        <v>1037.2539999999999</v>
      </c>
      <c r="F182" s="250">
        <f t="shared" si="10"/>
        <v>4978.819199999999</v>
      </c>
      <c r="G182" s="265"/>
      <c r="H182" s="320"/>
      <c r="I182" s="252"/>
      <c r="J182" s="250"/>
      <c r="K182" s="247"/>
      <c r="L182" s="247"/>
      <c r="M182" s="247"/>
      <c r="N182" s="277"/>
    </row>
    <row r="183" spans="1:14" x14ac:dyDescent="0.25">
      <c r="A183" s="245" t="s">
        <v>814</v>
      </c>
      <c r="B183" s="248" t="s">
        <v>815</v>
      </c>
      <c r="C183" s="245" t="s">
        <v>60</v>
      </c>
      <c r="D183" s="319">
        <v>1</v>
      </c>
      <c r="E183" s="246">
        <v>278.27</v>
      </c>
      <c r="F183" s="250">
        <f t="shared" si="10"/>
        <v>278.27</v>
      </c>
      <c r="G183" s="265"/>
      <c r="H183" s="320"/>
      <c r="I183" s="252"/>
      <c r="J183" s="250"/>
      <c r="K183" s="247"/>
      <c r="L183" s="247"/>
      <c r="M183" s="247"/>
      <c r="N183" s="277"/>
    </row>
    <row r="184" spans="1:14" ht="51" x14ac:dyDescent="0.25">
      <c r="A184" s="245" t="s">
        <v>816</v>
      </c>
      <c r="B184" s="248" t="s">
        <v>817</v>
      </c>
      <c r="C184" s="245" t="s">
        <v>152</v>
      </c>
      <c r="D184" s="319">
        <v>8.4700000000000006</v>
      </c>
      <c r="E184" s="246">
        <v>746.7</v>
      </c>
      <c r="F184" s="250">
        <f>E184*D184-0.02</f>
        <v>6324.5290000000005</v>
      </c>
      <c r="G184" s="265"/>
      <c r="H184" s="320"/>
      <c r="I184" s="252"/>
      <c r="J184" s="250"/>
      <c r="K184" s="247"/>
      <c r="L184" s="247"/>
      <c r="M184" s="247"/>
      <c r="N184" s="277"/>
    </row>
    <row r="185" spans="1:14" ht="25.5" x14ac:dyDescent="0.25">
      <c r="A185" s="245" t="s">
        <v>818</v>
      </c>
      <c r="B185" s="248" t="s">
        <v>819</v>
      </c>
      <c r="C185" s="245" t="s">
        <v>152</v>
      </c>
      <c r="D185" s="246">
        <v>8</v>
      </c>
      <c r="E185" s="246">
        <v>179.86099999999999</v>
      </c>
      <c r="F185" s="250">
        <f t="shared" si="10"/>
        <v>1438.8879999999999</v>
      </c>
      <c r="G185" s="265"/>
      <c r="H185" s="320"/>
      <c r="I185" s="252"/>
      <c r="J185" s="250"/>
      <c r="K185" s="247"/>
      <c r="L185" s="247"/>
      <c r="M185" s="247"/>
      <c r="N185" s="277"/>
    </row>
    <row r="186" spans="1:14" ht="25.5" x14ac:dyDescent="0.25">
      <c r="A186" s="245" t="s">
        <v>820</v>
      </c>
      <c r="B186" s="248" t="s">
        <v>821</v>
      </c>
      <c r="C186" s="245" t="s">
        <v>152</v>
      </c>
      <c r="D186" s="246">
        <v>8</v>
      </c>
      <c r="E186" s="246">
        <v>144.80500000000001</v>
      </c>
      <c r="F186" s="250">
        <f t="shared" si="10"/>
        <v>1158.44</v>
      </c>
      <c r="G186" s="265"/>
      <c r="H186" s="320"/>
      <c r="I186" s="252"/>
      <c r="J186" s="250"/>
      <c r="K186" s="247"/>
      <c r="L186" s="247"/>
      <c r="M186" s="247"/>
      <c r="N186" s="277"/>
    </row>
    <row r="187" spans="1:14" ht="38.25" x14ac:dyDescent="0.25">
      <c r="A187" s="245" t="s">
        <v>822</v>
      </c>
      <c r="B187" s="248" t="s">
        <v>823</v>
      </c>
      <c r="C187" s="245" t="s">
        <v>152</v>
      </c>
      <c r="D187" s="246">
        <v>7</v>
      </c>
      <c r="E187" s="246">
        <v>420.78399999999999</v>
      </c>
      <c r="F187" s="250">
        <f t="shared" si="10"/>
        <v>2945.4879999999998</v>
      </c>
      <c r="G187" s="265"/>
      <c r="H187" s="320"/>
      <c r="I187" s="252"/>
      <c r="J187" s="250"/>
      <c r="K187" s="247"/>
      <c r="L187" s="247"/>
      <c r="M187" s="247"/>
      <c r="N187" s="277"/>
    </row>
    <row r="188" spans="1:14" ht="25.5" x14ac:dyDescent="0.25">
      <c r="A188" s="245" t="s">
        <v>824</v>
      </c>
      <c r="B188" s="248" t="s">
        <v>825</v>
      </c>
      <c r="C188" s="245" t="s">
        <v>152</v>
      </c>
      <c r="D188" s="246">
        <v>1</v>
      </c>
      <c r="E188" s="246">
        <v>547.6</v>
      </c>
      <c r="F188" s="250">
        <f t="shared" si="10"/>
        <v>547.6</v>
      </c>
      <c r="G188" s="265"/>
      <c r="H188" s="320"/>
      <c r="I188" s="252"/>
      <c r="J188" s="250"/>
      <c r="K188" s="247"/>
      <c r="L188" s="247"/>
      <c r="M188" s="247"/>
      <c r="N188" s="277"/>
    </row>
    <row r="189" spans="1:14" s="409" customFormat="1" ht="18.75" x14ac:dyDescent="0.25">
      <c r="A189" s="410" t="s">
        <v>204</v>
      </c>
      <c r="B189" s="494" t="s">
        <v>826</v>
      </c>
      <c r="C189" s="495"/>
      <c r="D189" s="495"/>
      <c r="E189" s="496"/>
      <c r="F189" s="402">
        <f>SUM(F190:F192)</f>
        <v>911.47508999999991</v>
      </c>
      <c r="G189" s="403"/>
      <c r="H189" s="404"/>
      <c r="I189" s="405"/>
      <c r="J189" s="406"/>
      <c r="K189" s="407">
        <f>SUM(K190:K192)</f>
        <v>0</v>
      </c>
      <c r="L189" s="407">
        <f>SUM(L190:L192)</f>
        <v>0</v>
      </c>
      <c r="M189" s="407">
        <f>SUM(M190:M192)</f>
        <v>0</v>
      </c>
      <c r="N189" s="360"/>
    </row>
    <row r="190" spans="1:14" ht="38.25" x14ac:dyDescent="0.25">
      <c r="A190" s="245" t="s">
        <v>827</v>
      </c>
      <c r="B190" s="248" t="s">
        <v>828</v>
      </c>
      <c r="C190" s="245" t="s">
        <v>189</v>
      </c>
      <c r="D190" s="246">
        <v>20.46</v>
      </c>
      <c r="E190" s="246">
        <v>38.141500000000001</v>
      </c>
      <c r="F190" s="250">
        <f t="shared" si="10"/>
        <v>780.37509</v>
      </c>
      <c r="G190" s="265"/>
      <c r="H190" s="320"/>
      <c r="I190" s="252"/>
      <c r="J190" s="250"/>
      <c r="K190" s="247"/>
      <c r="L190" s="247"/>
      <c r="M190" s="247"/>
      <c r="N190" s="277"/>
    </row>
    <row r="191" spans="1:14" ht="38.25" x14ac:dyDescent="0.25">
      <c r="A191" s="245" t="s">
        <v>829</v>
      </c>
      <c r="B191" s="248" t="s">
        <v>830</v>
      </c>
      <c r="C191" s="245" t="s">
        <v>152</v>
      </c>
      <c r="D191" s="246">
        <v>5</v>
      </c>
      <c r="E191" s="246">
        <v>17.082000000000001</v>
      </c>
      <c r="F191" s="250">
        <f t="shared" si="10"/>
        <v>85.41</v>
      </c>
      <c r="G191" s="265"/>
      <c r="H191" s="320"/>
      <c r="I191" s="252"/>
      <c r="J191" s="250"/>
      <c r="K191" s="247"/>
      <c r="L191" s="247"/>
      <c r="M191" s="247"/>
      <c r="N191" s="277"/>
    </row>
    <row r="192" spans="1:14" ht="25.5" x14ac:dyDescent="0.25">
      <c r="A192" s="245" t="s">
        <v>831</v>
      </c>
      <c r="B192" s="248" t="s">
        <v>832</v>
      </c>
      <c r="C192" s="245" t="s">
        <v>152</v>
      </c>
      <c r="D192" s="246">
        <v>5</v>
      </c>
      <c r="E192" s="246">
        <v>9.1379999999999999</v>
      </c>
      <c r="F192" s="250">
        <f t="shared" si="10"/>
        <v>45.69</v>
      </c>
      <c r="G192" s="265"/>
      <c r="H192" s="320"/>
      <c r="I192" s="252"/>
      <c r="J192" s="250"/>
      <c r="K192" s="247"/>
      <c r="L192" s="247"/>
      <c r="M192" s="247"/>
      <c r="N192" s="277"/>
    </row>
    <row r="193" spans="1:14" x14ac:dyDescent="0.25">
      <c r="A193" s="476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8"/>
      <c r="N193" s="277"/>
    </row>
    <row r="194" spans="1:14" s="361" customFormat="1" ht="18" customHeight="1" x14ac:dyDescent="0.25">
      <c r="A194" s="338" t="s">
        <v>833</v>
      </c>
      <c r="B194" s="503" t="s">
        <v>834</v>
      </c>
      <c r="C194" s="504"/>
      <c r="D194" s="504"/>
      <c r="E194" s="505"/>
      <c r="F194" s="339">
        <f>SUM(F195:F232)</f>
        <v>41814.853317100016</v>
      </c>
      <c r="G194" s="340"/>
      <c r="H194" s="341"/>
      <c r="I194" s="342"/>
      <c r="J194" s="359"/>
      <c r="K194" s="372">
        <f>SUM(K195:K232)</f>
        <v>0</v>
      </c>
      <c r="L194" s="372">
        <f>SUM(L195:L232)</f>
        <v>0</v>
      </c>
      <c r="M194" s="372">
        <f>SUM(M195:M232)</f>
        <v>0</v>
      </c>
      <c r="N194" s="360"/>
    </row>
    <row r="195" spans="1:14" x14ac:dyDescent="0.25">
      <c r="A195" s="245" t="s">
        <v>219</v>
      </c>
      <c r="B195" s="248" t="s">
        <v>835</v>
      </c>
      <c r="C195" s="251" t="s">
        <v>152</v>
      </c>
      <c r="D195" s="246">
        <v>0</v>
      </c>
      <c r="E195" s="246">
        <v>732.94</v>
      </c>
      <c r="F195" s="250"/>
      <c r="G195" s="265"/>
      <c r="H195" s="268"/>
      <c r="I195" s="252"/>
      <c r="J195" s="250"/>
      <c r="K195" s="247"/>
      <c r="L195" s="247"/>
      <c r="M195" s="247"/>
      <c r="N195" s="277"/>
    </row>
    <row r="196" spans="1:14" x14ac:dyDescent="0.25">
      <c r="A196" s="245" t="s">
        <v>221</v>
      </c>
      <c r="B196" s="248" t="s">
        <v>836</v>
      </c>
      <c r="C196" s="251" t="s">
        <v>81</v>
      </c>
      <c r="D196" s="246">
        <v>0.35</v>
      </c>
      <c r="E196" s="246">
        <v>25.61</v>
      </c>
      <c r="F196" s="250">
        <f t="shared" ref="F196:F231" si="11">E196*D196</f>
        <v>8.9634999999999998</v>
      </c>
      <c r="G196" s="265"/>
      <c r="H196" s="320"/>
      <c r="I196" s="252"/>
      <c r="J196" s="250"/>
      <c r="K196" s="247"/>
      <c r="L196" s="247"/>
      <c r="M196" s="247"/>
      <c r="N196" s="277"/>
    </row>
    <row r="197" spans="1:14" ht="38.25" x14ac:dyDescent="0.25">
      <c r="A197" s="245" t="s">
        <v>223</v>
      </c>
      <c r="B197" s="248" t="s">
        <v>837</v>
      </c>
      <c r="C197" s="251" t="s">
        <v>152</v>
      </c>
      <c r="D197" s="246">
        <v>2</v>
      </c>
      <c r="E197" s="246">
        <v>612.87</v>
      </c>
      <c r="F197" s="250">
        <f t="shared" si="11"/>
        <v>1225.74</v>
      </c>
      <c r="G197" s="265"/>
      <c r="H197" s="320"/>
      <c r="I197" s="252"/>
      <c r="J197" s="250"/>
      <c r="K197" s="261"/>
      <c r="L197" s="247"/>
      <c r="M197" s="261"/>
      <c r="N197" s="277"/>
    </row>
    <row r="198" spans="1:14" ht="25.5" x14ac:dyDescent="0.25">
      <c r="A198" s="245" t="s">
        <v>225</v>
      </c>
      <c r="B198" s="248" t="s">
        <v>838</v>
      </c>
      <c r="C198" s="251" t="s">
        <v>81</v>
      </c>
      <c r="D198" s="246">
        <v>0.06</v>
      </c>
      <c r="E198" s="246">
        <v>337.87</v>
      </c>
      <c r="F198" s="250">
        <f t="shared" si="11"/>
        <v>20.272199999999998</v>
      </c>
      <c r="G198" s="265"/>
      <c r="H198" s="320"/>
      <c r="I198" s="252"/>
      <c r="J198" s="250"/>
      <c r="K198" s="261"/>
      <c r="L198" s="247"/>
      <c r="M198" s="261"/>
      <c r="N198" s="277"/>
    </row>
    <row r="199" spans="1:14" x14ac:dyDescent="0.25">
      <c r="A199" s="245" t="s">
        <v>227</v>
      </c>
      <c r="B199" s="248" t="s">
        <v>839</v>
      </c>
      <c r="C199" s="251" t="s">
        <v>81</v>
      </c>
      <c r="D199" s="246">
        <v>0.06</v>
      </c>
      <c r="E199" s="246">
        <v>84.49</v>
      </c>
      <c r="F199" s="250">
        <f t="shared" si="11"/>
        <v>5.0693999999999999</v>
      </c>
      <c r="G199" s="265"/>
      <c r="H199" s="320"/>
      <c r="I199" s="252"/>
      <c r="J199" s="250"/>
      <c r="K199" s="261"/>
      <c r="L199" s="247"/>
      <c r="M199" s="261"/>
      <c r="N199" s="277"/>
    </row>
    <row r="200" spans="1:14" x14ac:dyDescent="0.25">
      <c r="A200" s="245" t="s">
        <v>230</v>
      </c>
      <c r="B200" s="248" t="s">
        <v>840</v>
      </c>
      <c r="C200" s="251" t="s">
        <v>81</v>
      </c>
      <c r="D200" s="246">
        <v>0.28999999999999998</v>
      </c>
      <c r="E200" s="246">
        <v>44.81</v>
      </c>
      <c r="F200" s="250">
        <f t="shared" si="11"/>
        <v>12.994899999999999</v>
      </c>
      <c r="G200" s="265"/>
      <c r="H200" s="320"/>
      <c r="I200" s="252"/>
      <c r="J200" s="250"/>
      <c r="K200" s="261"/>
      <c r="L200" s="247"/>
      <c r="M200" s="261"/>
      <c r="N200" s="277"/>
    </row>
    <row r="201" spans="1:14" ht="25.5" x14ac:dyDescent="0.25">
      <c r="A201" s="245" t="s">
        <v>233</v>
      </c>
      <c r="B201" s="248" t="s">
        <v>841</v>
      </c>
      <c r="C201" s="251" t="s">
        <v>152</v>
      </c>
      <c r="D201" s="246">
        <v>24</v>
      </c>
      <c r="E201" s="246">
        <v>11.3</v>
      </c>
      <c r="F201" s="250">
        <f>E201*D201-0.04</f>
        <v>271.16000000000003</v>
      </c>
      <c r="G201" s="265"/>
      <c r="H201" s="320"/>
      <c r="I201" s="252"/>
      <c r="J201" s="250"/>
      <c r="K201" s="261"/>
      <c r="L201" s="247"/>
      <c r="M201" s="261"/>
      <c r="N201" s="277"/>
    </row>
    <row r="202" spans="1:14" ht="25.5" x14ac:dyDescent="0.25">
      <c r="A202" s="245" t="s">
        <v>236</v>
      </c>
      <c r="B202" s="248" t="s">
        <v>842</v>
      </c>
      <c r="C202" s="251" t="s">
        <v>152</v>
      </c>
      <c r="D202" s="246">
        <v>2</v>
      </c>
      <c r="E202" s="246">
        <v>73.736000000000004</v>
      </c>
      <c r="F202" s="250">
        <f t="shared" si="11"/>
        <v>147.47200000000001</v>
      </c>
      <c r="G202" s="265"/>
      <c r="H202" s="320"/>
      <c r="I202" s="252"/>
      <c r="J202" s="250"/>
      <c r="K202" s="261"/>
      <c r="L202" s="247"/>
      <c r="M202" s="261"/>
      <c r="N202" s="277"/>
    </row>
    <row r="203" spans="1:14" ht="25.5" x14ac:dyDescent="0.25">
      <c r="A203" s="245" t="s">
        <v>239</v>
      </c>
      <c r="B203" s="248" t="s">
        <v>843</v>
      </c>
      <c r="C203" s="251" t="s">
        <v>152</v>
      </c>
      <c r="D203" s="246">
        <v>3</v>
      </c>
      <c r="E203" s="246">
        <v>176.31299999999999</v>
      </c>
      <c r="F203" s="250">
        <f t="shared" si="11"/>
        <v>528.93899999999996</v>
      </c>
      <c r="G203" s="265"/>
      <c r="H203" s="320"/>
      <c r="I203" s="252"/>
      <c r="J203" s="250"/>
      <c r="K203" s="261"/>
      <c r="L203" s="247"/>
      <c r="M203" s="261"/>
      <c r="N203" s="277"/>
    </row>
    <row r="204" spans="1:14" ht="25.5" x14ac:dyDescent="0.25">
      <c r="A204" s="245" t="s">
        <v>242</v>
      </c>
      <c r="B204" s="248" t="s">
        <v>844</v>
      </c>
      <c r="C204" s="251" t="s">
        <v>152</v>
      </c>
      <c r="D204" s="246">
        <v>1</v>
      </c>
      <c r="E204" s="246">
        <v>99.2</v>
      </c>
      <c r="F204" s="250">
        <f t="shared" si="11"/>
        <v>99.2</v>
      </c>
      <c r="G204" s="265"/>
      <c r="H204" s="320"/>
      <c r="I204" s="252"/>
      <c r="J204" s="250"/>
      <c r="K204" s="261"/>
      <c r="L204" s="247"/>
      <c r="M204" s="261"/>
      <c r="N204" s="277"/>
    </row>
    <row r="205" spans="1:14" ht="25.5" x14ac:dyDescent="0.25">
      <c r="A205" s="245" t="s">
        <v>244</v>
      </c>
      <c r="B205" s="248" t="s">
        <v>845</v>
      </c>
      <c r="C205" s="251" t="s">
        <v>152</v>
      </c>
      <c r="D205" s="246">
        <v>12</v>
      </c>
      <c r="E205" s="246">
        <v>96.44</v>
      </c>
      <c r="F205" s="250">
        <f t="shared" si="11"/>
        <v>1157.28</v>
      </c>
      <c r="G205" s="265"/>
      <c r="H205" s="320"/>
      <c r="I205" s="252"/>
      <c r="J205" s="250"/>
      <c r="K205" s="261"/>
      <c r="L205" s="247"/>
      <c r="M205" s="261"/>
      <c r="N205" s="277"/>
    </row>
    <row r="206" spans="1:14" ht="25.5" x14ac:dyDescent="0.25">
      <c r="A206" s="245" t="s">
        <v>246</v>
      </c>
      <c r="B206" s="248" t="s">
        <v>846</v>
      </c>
      <c r="C206" s="251" t="s">
        <v>152</v>
      </c>
      <c r="D206" s="246">
        <v>25</v>
      </c>
      <c r="E206" s="246">
        <v>20.49</v>
      </c>
      <c r="F206" s="250">
        <f t="shared" si="11"/>
        <v>512.25</v>
      </c>
      <c r="G206" s="265"/>
      <c r="H206" s="320"/>
      <c r="I206" s="252"/>
      <c r="J206" s="250"/>
      <c r="K206" s="261"/>
      <c r="L206" s="247"/>
      <c r="M206" s="261"/>
      <c r="N206" s="277"/>
    </row>
    <row r="207" spans="1:14" ht="25.5" x14ac:dyDescent="0.25">
      <c r="A207" s="245" t="s">
        <v>248</v>
      </c>
      <c r="B207" s="248" t="s">
        <v>847</v>
      </c>
      <c r="C207" s="251" t="s">
        <v>152</v>
      </c>
      <c r="D207" s="246">
        <v>81</v>
      </c>
      <c r="E207" s="246">
        <v>34.465000000000003</v>
      </c>
      <c r="F207" s="250">
        <f t="shared" si="11"/>
        <v>2791.6650000000004</v>
      </c>
      <c r="G207" s="265"/>
      <c r="H207" s="320"/>
      <c r="I207" s="252"/>
      <c r="J207" s="250"/>
      <c r="K207" s="261"/>
      <c r="L207" s="247"/>
      <c r="M207" s="261"/>
      <c r="N207" s="277"/>
    </row>
    <row r="208" spans="1:14" ht="25.5" x14ac:dyDescent="0.25">
      <c r="A208" s="245" t="s">
        <v>250</v>
      </c>
      <c r="B208" s="248" t="s">
        <v>848</v>
      </c>
      <c r="C208" s="251" t="s">
        <v>152</v>
      </c>
      <c r="D208" s="246">
        <v>1</v>
      </c>
      <c r="E208" s="246">
        <v>32.49</v>
      </c>
      <c r="F208" s="250">
        <f t="shared" si="11"/>
        <v>32.49</v>
      </c>
      <c r="G208" s="265"/>
      <c r="H208" s="320"/>
      <c r="I208" s="252"/>
      <c r="J208" s="250"/>
      <c r="K208" s="261"/>
      <c r="L208" s="247"/>
      <c r="M208" s="261"/>
      <c r="N208" s="277"/>
    </row>
    <row r="209" spans="1:14" ht="25.5" x14ac:dyDescent="0.25">
      <c r="A209" s="245" t="s">
        <v>253</v>
      </c>
      <c r="B209" s="248" t="s">
        <v>849</v>
      </c>
      <c r="C209" s="251" t="s">
        <v>152</v>
      </c>
      <c r="D209" s="246">
        <v>2</v>
      </c>
      <c r="E209" s="246">
        <v>25.23</v>
      </c>
      <c r="F209" s="250">
        <f t="shared" si="11"/>
        <v>50.46</v>
      </c>
      <c r="G209" s="265"/>
      <c r="H209" s="320"/>
      <c r="I209" s="252"/>
      <c r="J209" s="250"/>
      <c r="K209" s="261"/>
      <c r="L209" s="247"/>
      <c r="M209" s="261"/>
      <c r="N209" s="277"/>
    </row>
    <row r="210" spans="1:14" x14ac:dyDescent="0.25">
      <c r="A210" s="245" t="s">
        <v>256</v>
      </c>
      <c r="B210" s="248" t="s">
        <v>850</v>
      </c>
      <c r="C210" s="251" t="s">
        <v>152</v>
      </c>
      <c r="D210" s="246">
        <v>11</v>
      </c>
      <c r="E210" s="246">
        <v>36.131999999999998</v>
      </c>
      <c r="F210" s="250">
        <f t="shared" si="11"/>
        <v>397.452</v>
      </c>
      <c r="G210" s="265"/>
      <c r="H210" s="320"/>
      <c r="I210" s="252"/>
      <c r="J210" s="250"/>
      <c r="K210" s="261"/>
      <c r="L210" s="247"/>
      <c r="M210" s="261"/>
      <c r="N210" s="277"/>
    </row>
    <row r="211" spans="1:14" ht="25.5" x14ac:dyDescent="0.25">
      <c r="A211" s="245" t="s">
        <v>259</v>
      </c>
      <c r="B211" s="248" t="s">
        <v>851</v>
      </c>
      <c r="C211" s="251" t="s">
        <v>152</v>
      </c>
      <c r="D211" s="246">
        <v>33</v>
      </c>
      <c r="E211" s="246">
        <v>21.725999999999999</v>
      </c>
      <c r="F211" s="250">
        <f t="shared" si="11"/>
        <v>716.95799999999997</v>
      </c>
      <c r="G211" s="265"/>
      <c r="H211" s="320"/>
      <c r="I211" s="252"/>
      <c r="J211" s="250"/>
      <c r="K211" s="261"/>
      <c r="L211" s="247"/>
      <c r="M211" s="261"/>
      <c r="N211" s="277"/>
    </row>
    <row r="212" spans="1:14" ht="25.5" x14ac:dyDescent="0.25">
      <c r="A212" s="245" t="s">
        <v>262</v>
      </c>
      <c r="B212" s="248" t="s">
        <v>852</v>
      </c>
      <c r="C212" s="251" t="s">
        <v>152</v>
      </c>
      <c r="D212" s="246">
        <v>19</v>
      </c>
      <c r="E212" s="246">
        <v>23.7685</v>
      </c>
      <c r="F212" s="250">
        <f t="shared" si="11"/>
        <v>451.60149999999999</v>
      </c>
      <c r="G212" s="265"/>
      <c r="H212" s="320"/>
      <c r="I212" s="252"/>
      <c r="J212" s="250"/>
      <c r="K212" s="261"/>
      <c r="L212" s="247"/>
      <c r="M212" s="261"/>
      <c r="N212" s="277"/>
    </row>
    <row r="213" spans="1:14" ht="25.5" x14ac:dyDescent="0.25">
      <c r="A213" s="245" t="s">
        <v>264</v>
      </c>
      <c r="B213" s="248" t="s">
        <v>853</v>
      </c>
      <c r="C213" s="251" t="s">
        <v>152</v>
      </c>
      <c r="D213" s="246">
        <v>27</v>
      </c>
      <c r="E213" s="246">
        <v>34.9</v>
      </c>
      <c r="F213" s="250">
        <f>E213*D213-0.13</f>
        <v>942.17</v>
      </c>
      <c r="G213" s="265"/>
      <c r="H213" s="320"/>
      <c r="I213" s="252"/>
      <c r="J213" s="250"/>
      <c r="K213" s="261"/>
      <c r="L213" s="247"/>
      <c r="M213" s="261"/>
      <c r="N213" s="277"/>
    </row>
    <row r="214" spans="1:14" ht="25.5" x14ac:dyDescent="0.25">
      <c r="A214" s="245" t="s">
        <v>266</v>
      </c>
      <c r="B214" s="248" t="s">
        <v>854</v>
      </c>
      <c r="C214" s="251" t="s">
        <v>189</v>
      </c>
      <c r="D214" s="246">
        <v>226.5</v>
      </c>
      <c r="E214" s="246">
        <v>2.6122999999999998</v>
      </c>
      <c r="F214" s="250">
        <f t="shared" si="11"/>
        <v>591.68594999999993</v>
      </c>
      <c r="G214" s="265"/>
      <c r="H214" s="320"/>
      <c r="I214" s="252"/>
      <c r="J214" s="250"/>
      <c r="K214" s="261"/>
      <c r="L214" s="247"/>
      <c r="M214" s="261"/>
      <c r="N214" s="277"/>
    </row>
    <row r="215" spans="1:14" ht="25.5" x14ac:dyDescent="0.25">
      <c r="A215" s="245" t="s">
        <v>268</v>
      </c>
      <c r="B215" s="248" t="s">
        <v>855</v>
      </c>
      <c r="C215" s="251" t="s">
        <v>189</v>
      </c>
      <c r="D215" s="246">
        <v>1454.1</v>
      </c>
      <c r="E215" s="246">
        <v>3.8915700000000002</v>
      </c>
      <c r="F215" s="250">
        <f t="shared" si="11"/>
        <v>5658.7319369999996</v>
      </c>
      <c r="G215" s="265"/>
      <c r="H215" s="320"/>
      <c r="I215" s="252"/>
      <c r="J215" s="250"/>
      <c r="K215" s="261"/>
      <c r="L215" s="261"/>
      <c r="M215" s="261"/>
      <c r="N215" s="277"/>
    </row>
    <row r="216" spans="1:14" ht="25.5" x14ac:dyDescent="0.25">
      <c r="A216" s="245" t="s">
        <v>270</v>
      </c>
      <c r="B216" s="248" t="s">
        <v>856</v>
      </c>
      <c r="C216" s="251" t="s">
        <v>189</v>
      </c>
      <c r="D216" s="246">
        <v>1900.2</v>
      </c>
      <c r="E216" s="246">
        <v>5.9126099999999999</v>
      </c>
      <c r="F216" s="250">
        <f t="shared" si="11"/>
        <v>11235.141522</v>
      </c>
      <c r="G216" s="265"/>
      <c r="H216" s="320"/>
      <c r="I216" s="252"/>
      <c r="J216" s="250"/>
      <c r="K216" s="261"/>
      <c r="L216" s="261"/>
      <c r="M216" s="261"/>
      <c r="N216" s="277"/>
    </row>
    <row r="217" spans="1:14" ht="25.5" x14ac:dyDescent="0.25">
      <c r="A217" s="245" t="s">
        <v>272</v>
      </c>
      <c r="B217" s="248" t="s">
        <v>857</v>
      </c>
      <c r="C217" s="251" t="s">
        <v>189</v>
      </c>
      <c r="D217" s="246">
        <v>112.2</v>
      </c>
      <c r="E217" s="246">
        <v>8.9226500000000009</v>
      </c>
      <c r="F217" s="250">
        <f t="shared" si="11"/>
        <v>1001.1213300000002</v>
      </c>
      <c r="G217" s="265"/>
      <c r="H217" s="320"/>
      <c r="I217" s="252"/>
      <c r="J217" s="250"/>
      <c r="K217" s="261"/>
      <c r="L217" s="261"/>
      <c r="M217" s="261"/>
      <c r="N217" s="277"/>
    </row>
    <row r="218" spans="1:14" ht="25.5" x14ac:dyDescent="0.25">
      <c r="A218" s="245" t="s">
        <v>274</v>
      </c>
      <c r="B218" s="248" t="s">
        <v>858</v>
      </c>
      <c r="C218" s="251" t="s">
        <v>189</v>
      </c>
      <c r="D218" s="246">
        <v>449.1</v>
      </c>
      <c r="E218" s="246">
        <v>6.5898700000000003</v>
      </c>
      <c r="F218" s="250">
        <f t="shared" si="11"/>
        <v>2959.5106170000004</v>
      </c>
      <c r="G218" s="265"/>
      <c r="H218" s="320"/>
      <c r="I218" s="252"/>
      <c r="J218" s="250"/>
      <c r="K218" s="261"/>
      <c r="L218" s="261"/>
      <c r="M218" s="261"/>
      <c r="N218" s="277"/>
    </row>
    <row r="219" spans="1:14" ht="25.5" x14ac:dyDescent="0.25">
      <c r="A219" s="245" t="s">
        <v>276</v>
      </c>
      <c r="B219" s="248" t="s">
        <v>859</v>
      </c>
      <c r="C219" s="251" t="s">
        <v>189</v>
      </c>
      <c r="D219" s="246">
        <v>76.099999999999994</v>
      </c>
      <c r="E219" s="246">
        <v>8.4604999999999997</v>
      </c>
      <c r="F219" s="250">
        <f t="shared" si="11"/>
        <v>643.84404999999992</v>
      </c>
      <c r="G219" s="265"/>
      <c r="H219" s="320"/>
      <c r="I219" s="252"/>
      <c r="J219" s="250"/>
      <c r="K219" s="261"/>
      <c r="L219" s="261"/>
      <c r="M219" s="261"/>
      <c r="N219" s="277"/>
    </row>
    <row r="220" spans="1:14" ht="25.5" x14ac:dyDescent="0.25">
      <c r="A220" s="245" t="s">
        <v>278</v>
      </c>
      <c r="B220" s="248" t="s">
        <v>860</v>
      </c>
      <c r="C220" s="251" t="s">
        <v>189</v>
      </c>
      <c r="D220" s="246">
        <v>261.5</v>
      </c>
      <c r="E220" s="246">
        <v>8.6753999999999998</v>
      </c>
      <c r="F220" s="250">
        <f t="shared" si="11"/>
        <v>2268.6170999999999</v>
      </c>
      <c r="G220" s="265"/>
      <c r="H220" s="320"/>
      <c r="I220" s="252"/>
      <c r="J220" s="250"/>
      <c r="K220" s="261"/>
      <c r="L220" s="261"/>
      <c r="M220" s="261"/>
      <c r="N220" s="277"/>
    </row>
    <row r="221" spans="1:14" s="313" customFormat="1" ht="25.5" x14ac:dyDescent="0.25">
      <c r="A221" s="245" t="s">
        <v>280</v>
      </c>
      <c r="B221" s="248" t="s">
        <v>861</v>
      </c>
      <c r="C221" s="251" t="s">
        <v>189</v>
      </c>
      <c r="D221" s="246">
        <v>42.1</v>
      </c>
      <c r="E221" s="246">
        <v>11.1587</v>
      </c>
      <c r="F221" s="250">
        <f t="shared" si="11"/>
        <v>469.78127000000001</v>
      </c>
      <c r="G221" s="265"/>
      <c r="H221" s="320"/>
      <c r="I221" s="252"/>
      <c r="J221" s="250"/>
      <c r="K221" s="316"/>
      <c r="L221" s="316"/>
      <c r="M221" s="316"/>
      <c r="N221" s="312"/>
    </row>
    <row r="222" spans="1:14" s="313" customFormat="1" ht="25.5" x14ac:dyDescent="0.25">
      <c r="A222" s="245" t="s">
        <v>283</v>
      </c>
      <c r="B222" s="248" t="s">
        <v>862</v>
      </c>
      <c r="C222" s="251" t="s">
        <v>189</v>
      </c>
      <c r="D222" s="246">
        <v>6.2</v>
      </c>
      <c r="E222" s="246">
        <v>13.223000000000001</v>
      </c>
      <c r="F222" s="250">
        <f t="shared" si="11"/>
        <v>81.982600000000005</v>
      </c>
      <c r="G222" s="265"/>
      <c r="H222" s="320"/>
      <c r="I222" s="252"/>
      <c r="J222" s="250"/>
      <c r="K222" s="316"/>
      <c r="L222" s="316"/>
      <c r="M222" s="316"/>
      <c r="N222" s="312"/>
    </row>
    <row r="223" spans="1:14" s="313" customFormat="1" ht="25.5" x14ac:dyDescent="0.25">
      <c r="A223" s="245" t="s">
        <v>286</v>
      </c>
      <c r="B223" s="248" t="s">
        <v>863</v>
      </c>
      <c r="C223" s="251" t="s">
        <v>152</v>
      </c>
      <c r="D223" s="246">
        <v>4</v>
      </c>
      <c r="E223" s="246">
        <v>46.677999999999997</v>
      </c>
      <c r="F223" s="250">
        <f t="shared" si="11"/>
        <v>186.71199999999999</v>
      </c>
      <c r="G223" s="265"/>
      <c r="H223" s="320"/>
      <c r="I223" s="252"/>
      <c r="J223" s="250"/>
      <c r="K223" s="316"/>
      <c r="L223" s="316"/>
      <c r="M223" s="316"/>
      <c r="N223" s="312"/>
    </row>
    <row r="224" spans="1:14" s="313" customFormat="1" ht="25.5" x14ac:dyDescent="0.25">
      <c r="A224" s="245" t="s">
        <v>289</v>
      </c>
      <c r="B224" s="248" t="s">
        <v>864</v>
      </c>
      <c r="C224" s="251" t="s">
        <v>152</v>
      </c>
      <c r="D224" s="246">
        <v>219</v>
      </c>
      <c r="E224" s="246">
        <v>1.89205</v>
      </c>
      <c r="F224" s="250">
        <f t="shared" si="11"/>
        <v>414.35894999999999</v>
      </c>
      <c r="G224" s="265"/>
      <c r="H224" s="320"/>
      <c r="I224" s="252"/>
      <c r="J224" s="250"/>
      <c r="K224" s="316"/>
      <c r="L224" s="316"/>
      <c r="M224" s="316"/>
      <c r="N224" s="312"/>
    </row>
    <row r="225" spans="1:14" s="313" customFormat="1" ht="25.5" x14ac:dyDescent="0.25">
      <c r="A225" s="245" t="s">
        <v>292</v>
      </c>
      <c r="B225" s="248" t="s">
        <v>865</v>
      </c>
      <c r="C225" s="251" t="s">
        <v>152</v>
      </c>
      <c r="D225" s="246">
        <v>39</v>
      </c>
      <c r="E225" s="246">
        <v>2.0318000000000001</v>
      </c>
      <c r="F225" s="250">
        <f t="shared" si="11"/>
        <v>79.240200000000002</v>
      </c>
      <c r="G225" s="265"/>
      <c r="H225" s="320"/>
      <c r="I225" s="252"/>
      <c r="J225" s="250"/>
      <c r="K225" s="316"/>
      <c r="L225" s="316"/>
      <c r="M225" s="316"/>
      <c r="N225" s="312"/>
    </row>
    <row r="226" spans="1:14" s="313" customFormat="1" ht="25.5" x14ac:dyDescent="0.25">
      <c r="A226" s="245" t="s">
        <v>295</v>
      </c>
      <c r="B226" s="248" t="s">
        <v>866</v>
      </c>
      <c r="C226" s="251" t="s">
        <v>152</v>
      </c>
      <c r="D226" s="246">
        <v>6</v>
      </c>
      <c r="E226" s="246">
        <v>3.3</v>
      </c>
      <c r="F226" s="250">
        <f t="shared" si="11"/>
        <v>19.799999999999997</v>
      </c>
      <c r="G226" s="265"/>
      <c r="H226" s="320"/>
      <c r="I226" s="252"/>
      <c r="J226" s="250"/>
      <c r="K226" s="316"/>
      <c r="L226" s="316"/>
      <c r="M226" s="316"/>
      <c r="N226" s="312"/>
    </row>
    <row r="227" spans="1:14" s="313" customFormat="1" ht="25.5" x14ac:dyDescent="0.25">
      <c r="A227" s="245" t="s">
        <v>298</v>
      </c>
      <c r="B227" s="248" t="s">
        <v>867</v>
      </c>
      <c r="C227" s="251" t="s">
        <v>152</v>
      </c>
      <c r="D227" s="246">
        <v>81</v>
      </c>
      <c r="E227" s="246">
        <v>8.0518000000000001</v>
      </c>
      <c r="F227" s="250">
        <f t="shared" si="11"/>
        <v>652.19579999999996</v>
      </c>
      <c r="G227" s="265"/>
      <c r="H227" s="320"/>
      <c r="I227" s="252"/>
      <c r="J227" s="250"/>
      <c r="K227" s="316"/>
      <c r="L227" s="316"/>
      <c r="M227" s="316"/>
      <c r="N227" s="312"/>
    </row>
    <row r="228" spans="1:14" ht="25.5" x14ac:dyDescent="0.25">
      <c r="A228" s="245" t="s">
        <v>301</v>
      </c>
      <c r="B228" s="248" t="s">
        <v>868</v>
      </c>
      <c r="C228" s="251" t="s">
        <v>152</v>
      </c>
      <c r="D228" s="246">
        <v>127</v>
      </c>
      <c r="E228" s="246">
        <v>17.7378</v>
      </c>
      <c r="F228" s="250">
        <f t="shared" si="11"/>
        <v>2252.7006000000001</v>
      </c>
      <c r="G228" s="265"/>
      <c r="H228" s="320"/>
      <c r="I228" s="252"/>
      <c r="J228" s="250"/>
      <c r="K228" s="261"/>
      <c r="L228" s="261"/>
      <c r="M228" s="261"/>
      <c r="N228" s="277"/>
    </row>
    <row r="229" spans="1:14" ht="25.5" x14ac:dyDescent="0.25">
      <c r="A229" s="245" t="s">
        <v>304</v>
      </c>
      <c r="B229" s="248" t="s">
        <v>869</v>
      </c>
      <c r="C229" s="251" t="s">
        <v>152</v>
      </c>
      <c r="D229" s="246">
        <v>29</v>
      </c>
      <c r="E229" s="246">
        <v>4.5045000000000002</v>
      </c>
      <c r="F229" s="250">
        <f t="shared" si="11"/>
        <v>130.63050000000001</v>
      </c>
      <c r="G229" s="265"/>
      <c r="H229" s="320"/>
      <c r="I229" s="252"/>
      <c r="J229" s="250"/>
      <c r="K229" s="261"/>
      <c r="L229" s="261"/>
      <c r="M229" s="261"/>
      <c r="N229" s="277"/>
    </row>
    <row r="230" spans="1:14" ht="25.5" x14ac:dyDescent="0.25">
      <c r="A230" s="245" t="s">
        <v>307</v>
      </c>
      <c r="B230" s="248" t="s">
        <v>870</v>
      </c>
      <c r="C230" s="251" t="s">
        <v>152</v>
      </c>
      <c r="D230" s="246">
        <v>7</v>
      </c>
      <c r="E230" s="246">
        <v>5.9340000000000002</v>
      </c>
      <c r="F230" s="250">
        <f t="shared" si="11"/>
        <v>41.538000000000004</v>
      </c>
      <c r="G230" s="265"/>
      <c r="H230" s="320"/>
      <c r="I230" s="252"/>
      <c r="J230" s="250"/>
      <c r="K230" s="261"/>
      <c r="L230" s="261"/>
      <c r="M230" s="261"/>
      <c r="N230" s="277"/>
    </row>
    <row r="231" spans="1:14" ht="25.5" x14ac:dyDescent="0.25">
      <c r="A231" s="245" t="s">
        <v>310</v>
      </c>
      <c r="B231" s="248" t="s">
        <v>871</v>
      </c>
      <c r="C231" s="251" t="s">
        <v>152</v>
      </c>
      <c r="D231" s="246">
        <v>1</v>
      </c>
      <c r="E231" s="246">
        <v>9.49</v>
      </c>
      <c r="F231" s="250">
        <f t="shared" si="11"/>
        <v>9.49</v>
      </c>
      <c r="G231" s="265"/>
      <c r="H231" s="320"/>
      <c r="I231" s="252"/>
      <c r="J231" s="250"/>
      <c r="K231" s="261"/>
      <c r="L231" s="261"/>
      <c r="M231" s="261"/>
      <c r="N231" s="277"/>
    </row>
    <row r="232" spans="1:14" x14ac:dyDescent="0.25">
      <c r="A232" s="245" t="s">
        <v>312</v>
      </c>
      <c r="B232" s="237" t="s">
        <v>872</v>
      </c>
      <c r="C232" s="317" t="s">
        <v>152</v>
      </c>
      <c r="D232" s="318">
        <v>1</v>
      </c>
      <c r="E232" s="317">
        <f>3612.15*1.3126*0.79</f>
        <v>3745.6333911000006</v>
      </c>
      <c r="F232" s="250">
        <f>D232*E232</f>
        <v>3745.6333911000006</v>
      </c>
      <c r="G232" s="265"/>
      <c r="H232" s="268"/>
      <c r="I232" s="252"/>
      <c r="J232" s="250"/>
      <c r="K232" s="261"/>
      <c r="L232" s="261"/>
      <c r="M232" s="261"/>
      <c r="N232" s="277"/>
    </row>
    <row r="233" spans="1:14" x14ac:dyDescent="0.25">
      <c r="A233" s="476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8"/>
      <c r="N233" s="277"/>
    </row>
    <row r="234" spans="1:14" s="361" customFormat="1" ht="35.25" customHeight="1" x14ac:dyDescent="0.25">
      <c r="A234" s="338" t="s">
        <v>873</v>
      </c>
      <c r="B234" s="503" t="s">
        <v>874</v>
      </c>
      <c r="C234" s="504"/>
      <c r="D234" s="504"/>
      <c r="E234" s="505"/>
      <c r="F234" s="339">
        <f>SUM(F235:F239)</f>
        <v>3582.9520000000002</v>
      </c>
      <c r="G234" s="340"/>
      <c r="H234" s="341"/>
      <c r="I234" s="342"/>
      <c r="J234" s="359"/>
      <c r="K234" s="398">
        <f>SUM(K235:K239)</f>
        <v>0</v>
      </c>
      <c r="L234" s="398">
        <f>SUM(L235:L239)</f>
        <v>0</v>
      </c>
      <c r="M234" s="398">
        <f>SUM(M235:M239)</f>
        <v>0</v>
      </c>
      <c r="N234" s="360"/>
    </row>
    <row r="235" spans="1:14" ht="25.5" x14ac:dyDescent="0.25">
      <c r="A235" s="245" t="s">
        <v>322</v>
      </c>
      <c r="B235" s="248" t="s">
        <v>875</v>
      </c>
      <c r="C235" s="251" t="s">
        <v>152</v>
      </c>
      <c r="D235" s="246">
        <v>4</v>
      </c>
      <c r="E235" s="246">
        <v>240.18</v>
      </c>
      <c r="F235" s="250">
        <f>E235*D235</f>
        <v>960.72</v>
      </c>
      <c r="G235" s="265"/>
      <c r="H235" s="320"/>
      <c r="I235" s="252"/>
      <c r="J235" s="250"/>
      <c r="K235" s="261"/>
      <c r="L235" s="261"/>
      <c r="M235" s="261"/>
      <c r="N235" s="277"/>
    </row>
    <row r="236" spans="1:14" x14ac:dyDescent="0.25">
      <c r="A236" s="245" t="s">
        <v>324</v>
      </c>
      <c r="B236" s="248" t="s">
        <v>876</v>
      </c>
      <c r="C236" s="251" t="s">
        <v>152</v>
      </c>
      <c r="D236" s="246">
        <v>4</v>
      </c>
      <c r="E236" s="246">
        <v>272.42</v>
      </c>
      <c r="F236" s="250">
        <f>E236*D236</f>
        <v>1089.68</v>
      </c>
      <c r="G236" s="265"/>
      <c r="H236" s="320"/>
      <c r="I236" s="252"/>
      <c r="J236" s="250"/>
      <c r="K236" s="261"/>
      <c r="L236" s="261"/>
      <c r="M236" s="261"/>
      <c r="N236" s="277"/>
    </row>
    <row r="237" spans="1:14" ht="38.25" x14ac:dyDescent="0.25">
      <c r="A237" s="245" t="s">
        <v>326</v>
      </c>
      <c r="B237" s="248" t="s">
        <v>877</v>
      </c>
      <c r="C237" s="251" t="s">
        <v>152</v>
      </c>
      <c r="D237" s="246">
        <v>20</v>
      </c>
      <c r="E237" s="246">
        <v>32.627000000000002</v>
      </c>
      <c r="F237" s="250">
        <f>E237*D237</f>
        <v>652.54000000000008</v>
      </c>
      <c r="G237" s="265"/>
      <c r="H237" s="320"/>
      <c r="I237" s="252"/>
      <c r="J237" s="250"/>
      <c r="K237" s="261"/>
      <c r="L237" s="261"/>
      <c r="M237" s="261"/>
      <c r="N237" s="277"/>
    </row>
    <row r="238" spans="1:14" ht="25.5" x14ac:dyDescent="0.25">
      <c r="A238" s="245" t="s">
        <v>328</v>
      </c>
      <c r="B238" s="248" t="s">
        <v>878</v>
      </c>
      <c r="C238" s="251" t="s">
        <v>152</v>
      </c>
      <c r="D238" s="246">
        <v>4</v>
      </c>
      <c r="E238" s="246">
        <v>64.878</v>
      </c>
      <c r="F238" s="250">
        <f>E238*D238</f>
        <v>259.512</v>
      </c>
      <c r="G238" s="265"/>
      <c r="H238" s="320"/>
      <c r="I238" s="252"/>
      <c r="J238" s="250"/>
      <c r="K238" s="261"/>
      <c r="L238" s="261"/>
      <c r="M238" s="261"/>
      <c r="N238" s="277"/>
    </row>
    <row r="239" spans="1:14" x14ac:dyDescent="0.25">
      <c r="A239" s="245" t="s">
        <v>331</v>
      </c>
      <c r="B239" s="248" t="s">
        <v>879</v>
      </c>
      <c r="C239" s="251" t="s">
        <v>152</v>
      </c>
      <c r="D239" s="246">
        <v>20</v>
      </c>
      <c r="E239" s="246">
        <v>31.024999999999999</v>
      </c>
      <c r="F239" s="250">
        <f>E239*D239</f>
        <v>620.5</v>
      </c>
      <c r="G239" s="265"/>
      <c r="H239" s="320"/>
      <c r="I239" s="252"/>
      <c r="J239" s="250"/>
      <c r="K239" s="261"/>
      <c r="L239" s="261"/>
      <c r="M239" s="261"/>
      <c r="N239" s="277"/>
    </row>
    <row r="240" spans="1:14" x14ac:dyDescent="0.25">
      <c r="A240" s="476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8"/>
      <c r="N240" s="277"/>
    </row>
    <row r="241" spans="1:15" s="361" customFormat="1" ht="18" customHeight="1" x14ac:dyDescent="0.25">
      <c r="A241" s="338" t="s">
        <v>880</v>
      </c>
      <c r="B241" s="503" t="s">
        <v>881</v>
      </c>
      <c r="C241" s="504"/>
      <c r="D241" s="504"/>
      <c r="E241" s="505"/>
      <c r="F241" s="339">
        <f>SUM(F242:F245)-0.01</f>
        <v>55994.050984000001</v>
      </c>
      <c r="G241" s="340"/>
      <c r="H241" s="341"/>
      <c r="I241" s="342"/>
      <c r="J241" s="359"/>
      <c r="K241" s="358">
        <f>SUM(K242:K245)</f>
        <v>5615.5019243999996</v>
      </c>
      <c r="L241" s="358">
        <f>SUM(L242:L245)</f>
        <v>6883.3168340499988</v>
      </c>
      <c r="M241" s="358">
        <f>SUM(M242:M245)</f>
        <v>17441.714314599998</v>
      </c>
      <c r="N241" s="360"/>
    </row>
    <row r="242" spans="1:15" ht="38.25" x14ac:dyDescent="0.25">
      <c r="A242" s="245" t="s">
        <v>367</v>
      </c>
      <c r="B242" s="248" t="s">
        <v>882</v>
      </c>
      <c r="C242" s="251" t="s">
        <v>60</v>
      </c>
      <c r="D242" s="246">
        <v>1953.3</v>
      </c>
      <c r="E242" s="246">
        <v>3.085305</v>
      </c>
      <c r="F242" s="250">
        <f>E242*D242</f>
        <v>6026.5262564999994</v>
      </c>
      <c r="G242" s="265">
        <v>1820.08</v>
      </c>
      <c r="H242" s="265"/>
      <c r="I242" s="336">
        <v>1820.08</v>
      </c>
      <c r="J242" s="250"/>
      <c r="K242" s="325">
        <f>E242*G242</f>
        <v>5615.5019243999996</v>
      </c>
      <c r="L242" s="325"/>
      <c r="M242" s="325">
        <f>E242*I242</f>
        <v>5615.5019243999996</v>
      </c>
      <c r="N242" s="290"/>
    </row>
    <row r="243" spans="1:15" ht="51" x14ac:dyDescent="0.25">
      <c r="A243" s="245" t="s">
        <v>370</v>
      </c>
      <c r="B243" s="248" t="s">
        <v>883</v>
      </c>
      <c r="C243" s="251" t="s">
        <v>60</v>
      </c>
      <c r="D243" s="246">
        <v>1702.5</v>
      </c>
      <c r="E243" s="246">
        <v>16.759554999999999</v>
      </c>
      <c r="F243" s="250">
        <f>E243*D243</f>
        <v>28533.142387499996</v>
      </c>
      <c r="G243" s="265">
        <v>294.93</v>
      </c>
      <c r="H243" s="320">
        <v>410.71</v>
      </c>
      <c r="I243" s="336">
        <f>294.93+410.71</f>
        <v>705.64</v>
      </c>
      <c r="J243" s="250"/>
      <c r="K243" s="261"/>
      <c r="L243" s="325">
        <f>E243*H243</f>
        <v>6883.3168340499988</v>
      </c>
      <c r="M243" s="325">
        <f>E243*I243</f>
        <v>11826.212390199998</v>
      </c>
      <c r="N243" s="277"/>
      <c r="O243" s="538"/>
    </row>
    <row r="244" spans="1:15" ht="38.25" x14ac:dyDescent="0.25">
      <c r="A244" s="245" t="s">
        <v>372</v>
      </c>
      <c r="B244" s="248" t="s">
        <v>884</v>
      </c>
      <c r="C244" s="251" t="s">
        <v>60</v>
      </c>
      <c r="D244" s="246">
        <v>250.8</v>
      </c>
      <c r="E244" s="246">
        <v>70.3</v>
      </c>
      <c r="F244" s="250">
        <f>E244*D244-1.12</f>
        <v>17630.120000000003</v>
      </c>
      <c r="G244" s="265"/>
      <c r="H244" s="320"/>
      <c r="I244" s="252"/>
      <c r="J244" s="250"/>
      <c r="K244" s="261"/>
      <c r="L244" s="261"/>
      <c r="M244" s="261"/>
      <c r="N244" s="277"/>
    </row>
    <row r="245" spans="1:15" ht="51" x14ac:dyDescent="0.25">
      <c r="A245" s="245" t="s">
        <v>374</v>
      </c>
      <c r="B245" s="248" t="s">
        <v>885</v>
      </c>
      <c r="C245" s="251" t="s">
        <v>60</v>
      </c>
      <c r="D245" s="246">
        <v>250.8</v>
      </c>
      <c r="E245" s="246">
        <v>15.16855</v>
      </c>
      <c r="F245" s="250">
        <f>E245*D245</f>
        <v>3804.27234</v>
      </c>
      <c r="G245" s="265"/>
      <c r="H245" s="320"/>
      <c r="I245" s="252"/>
      <c r="J245" s="250"/>
      <c r="K245" s="261"/>
      <c r="L245" s="261"/>
      <c r="M245" s="261"/>
      <c r="N245" s="277"/>
    </row>
    <row r="246" spans="1:15" x14ac:dyDescent="0.25">
      <c r="A246" s="476"/>
      <c r="B246" s="477"/>
      <c r="C246" s="477"/>
      <c r="D246" s="477"/>
      <c r="E246" s="477"/>
      <c r="F246" s="477"/>
      <c r="G246" s="477"/>
      <c r="H246" s="477"/>
      <c r="I246" s="477"/>
      <c r="J246" s="477"/>
      <c r="K246" s="477"/>
      <c r="L246" s="477"/>
      <c r="M246" s="478"/>
      <c r="N246" s="277"/>
    </row>
    <row r="247" spans="1:15" s="337" customFormat="1" ht="21.75" customHeight="1" x14ac:dyDescent="0.25">
      <c r="A247" s="338" t="s">
        <v>886</v>
      </c>
      <c r="B247" s="503" t="s">
        <v>887</v>
      </c>
      <c r="C247" s="504"/>
      <c r="D247" s="504"/>
      <c r="E247" s="505"/>
      <c r="F247" s="355">
        <f>SUM(F248:F254)</f>
        <v>118577.87744970001</v>
      </c>
      <c r="G247" s="345"/>
      <c r="H247" s="345"/>
      <c r="I247" s="345"/>
      <c r="J247" s="356"/>
      <c r="K247" s="357">
        <f>SUM(K248:K253)</f>
        <v>2327.1786103999998</v>
      </c>
      <c r="L247" s="399">
        <f>SUM(L248:L253)</f>
        <v>0</v>
      </c>
      <c r="M247" s="358">
        <f>SUM(M248:M253)</f>
        <v>2327.1786103999998</v>
      </c>
      <c r="N247" s="335"/>
    </row>
    <row r="248" spans="1:15" ht="25.5" x14ac:dyDescent="0.25">
      <c r="A248" s="245" t="s">
        <v>381</v>
      </c>
      <c r="B248" s="248" t="s">
        <v>888</v>
      </c>
      <c r="C248" s="251" t="s">
        <v>60</v>
      </c>
      <c r="D248" s="246">
        <v>470.34</v>
      </c>
      <c r="E248" s="246">
        <v>23.381679999999999</v>
      </c>
      <c r="F248" s="250">
        <f t="shared" ref="F248:F253" si="12">E248*D248</f>
        <v>10997.3393712</v>
      </c>
      <c r="G248" s="265">
        <v>99.53</v>
      </c>
      <c r="H248" s="324"/>
      <c r="I248" s="336">
        <v>99.53</v>
      </c>
      <c r="J248" s="250"/>
      <c r="K248" s="387">
        <f>E248*G248</f>
        <v>2327.1786103999998</v>
      </c>
      <c r="L248" s="387"/>
      <c r="M248" s="387">
        <f>E248*I248</f>
        <v>2327.1786103999998</v>
      </c>
      <c r="N248" s="277"/>
      <c r="O248" s="382"/>
    </row>
    <row r="249" spans="1:15" ht="25.5" x14ac:dyDescent="0.25">
      <c r="A249" s="245" t="s">
        <v>384</v>
      </c>
      <c r="B249" s="248" t="s">
        <v>889</v>
      </c>
      <c r="C249" s="251" t="s">
        <v>60</v>
      </c>
      <c r="D249" s="246">
        <v>383.54</v>
      </c>
      <c r="E249" s="246">
        <v>117.28825000000001</v>
      </c>
      <c r="F249" s="250">
        <f t="shared" si="12"/>
        <v>44984.735405000007</v>
      </c>
      <c r="G249" s="265"/>
      <c r="H249" s="320"/>
      <c r="I249" s="252"/>
      <c r="J249" s="250"/>
      <c r="K249" s="261"/>
      <c r="L249" s="261"/>
      <c r="M249" s="261"/>
      <c r="N249" s="277"/>
    </row>
    <row r="250" spans="1:15" ht="25.5" x14ac:dyDescent="0.25">
      <c r="A250" s="245" t="s">
        <v>387</v>
      </c>
      <c r="B250" s="248" t="s">
        <v>890</v>
      </c>
      <c r="C250" s="251" t="s">
        <v>60</v>
      </c>
      <c r="D250" s="246">
        <v>413.3</v>
      </c>
      <c r="E250" s="246">
        <v>54.58</v>
      </c>
      <c r="F250" s="250">
        <v>22559.08</v>
      </c>
      <c r="G250" s="265"/>
      <c r="H250" s="320"/>
      <c r="I250" s="252"/>
      <c r="J250" s="250"/>
      <c r="K250" s="261"/>
      <c r="L250" s="261"/>
      <c r="M250" s="261"/>
      <c r="N250" s="277"/>
    </row>
    <row r="251" spans="1:15" ht="38.25" x14ac:dyDescent="0.25">
      <c r="A251" s="245" t="s">
        <v>389</v>
      </c>
      <c r="B251" s="248" t="s">
        <v>891</v>
      </c>
      <c r="C251" s="251" t="s">
        <v>81</v>
      </c>
      <c r="D251" s="246">
        <v>57.08</v>
      </c>
      <c r="E251" s="246">
        <v>590.2867</v>
      </c>
      <c r="F251" s="250">
        <f t="shared" si="12"/>
        <v>33693.564835999998</v>
      </c>
      <c r="G251" s="265"/>
      <c r="H251" s="320"/>
      <c r="I251" s="252"/>
      <c r="J251" s="250"/>
      <c r="K251" s="261"/>
      <c r="L251" s="261"/>
      <c r="M251" s="261"/>
      <c r="N251" s="277"/>
    </row>
    <row r="252" spans="1:15" x14ac:dyDescent="0.25">
      <c r="A252" s="245" t="s">
        <v>392</v>
      </c>
      <c r="B252" s="248" t="s">
        <v>892</v>
      </c>
      <c r="C252" s="251" t="s">
        <v>60</v>
      </c>
      <c r="D252" s="246">
        <v>5.71</v>
      </c>
      <c r="E252" s="246">
        <v>54.9328</v>
      </c>
      <c r="F252" s="250">
        <f t="shared" si="12"/>
        <v>313.66628800000001</v>
      </c>
      <c r="G252" s="265"/>
      <c r="H252" s="320"/>
      <c r="I252" s="252"/>
      <c r="J252" s="250"/>
      <c r="K252" s="261"/>
      <c r="L252" s="261"/>
      <c r="M252" s="261"/>
      <c r="N252" s="277"/>
    </row>
    <row r="253" spans="1:15" ht="51" x14ac:dyDescent="0.25">
      <c r="A253" s="245" t="s">
        <v>395</v>
      </c>
      <c r="B253" s="248" t="s">
        <v>893</v>
      </c>
      <c r="C253" s="251" t="s">
        <v>189</v>
      </c>
      <c r="D253" s="246">
        <v>131.97</v>
      </c>
      <c r="E253" s="246">
        <v>45.68835</v>
      </c>
      <c r="F253" s="250">
        <f t="shared" si="12"/>
        <v>6029.4915494999996</v>
      </c>
      <c r="G253" s="265"/>
      <c r="H253" s="320"/>
      <c r="I253" s="252"/>
      <c r="J253" s="250"/>
      <c r="K253" s="261"/>
      <c r="L253" s="261"/>
      <c r="M253" s="261"/>
      <c r="N253" s="277"/>
    </row>
    <row r="254" spans="1:15" x14ac:dyDescent="0.25">
      <c r="A254" s="476"/>
      <c r="B254" s="477"/>
      <c r="C254" s="477"/>
      <c r="D254" s="477"/>
      <c r="E254" s="477"/>
      <c r="F254" s="477"/>
      <c r="G254" s="477"/>
      <c r="H254" s="477"/>
      <c r="I254" s="477"/>
      <c r="J254" s="477"/>
      <c r="K254" s="477"/>
      <c r="L254" s="477"/>
      <c r="M254" s="478"/>
      <c r="N254" s="277"/>
    </row>
    <row r="255" spans="1:15" s="361" customFormat="1" ht="18" customHeight="1" x14ac:dyDescent="0.25">
      <c r="A255" s="338" t="s">
        <v>894</v>
      </c>
      <c r="B255" s="503" t="s">
        <v>194</v>
      </c>
      <c r="C255" s="504"/>
      <c r="D255" s="504"/>
      <c r="E255" s="505"/>
      <c r="F255" s="339">
        <f>SUM(F256,F260)</f>
        <v>42751.92181</v>
      </c>
      <c r="G255" s="340"/>
      <c r="H255" s="341"/>
      <c r="I255" s="342"/>
      <c r="J255" s="359"/>
      <c r="K255" s="398">
        <f>K256+K260</f>
        <v>0</v>
      </c>
      <c r="L255" s="398">
        <f>L256+L260</f>
        <v>0</v>
      </c>
      <c r="M255" s="400">
        <f>M256+M260</f>
        <v>0</v>
      </c>
      <c r="N255" s="360"/>
    </row>
    <row r="256" spans="1:15" s="409" customFormat="1" ht="18.75" x14ac:dyDescent="0.25">
      <c r="A256" s="410" t="s">
        <v>459</v>
      </c>
      <c r="B256" s="494" t="s">
        <v>895</v>
      </c>
      <c r="C256" s="495"/>
      <c r="D256" s="495"/>
      <c r="E256" s="496"/>
      <c r="F256" s="419">
        <f>SUM(F257:F259)+0.01</f>
        <v>40629.661849999997</v>
      </c>
      <c r="G256" s="403"/>
      <c r="H256" s="420"/>
      <c r="I256" s="405"/>
      <c r="J256" s="421"/>
      <c r="K256" s="422">
        <f>SUM(K257:K259)</f>
        <v>0</v>
      </c>
      <c r="L256" s="422">
        <f>SUM(L257:L259)</f>
        <v>0</v>
      </c>
      <c r="M256" s="423">
        <f>SUM(M257:M259)</f>
        <v>0</v>
      </c>
      <c r="N256" s="360"/>
    </row>
    <row r="257" spans="1:15" ht="25.5" x14ac:dyDescent="0.25">
      <c r="A257" s="245" t="s">
        <v>896</v>
      </c>
      <c r="B257" s="248" t="s">
        <v>897</v>
      </c>
      <c r="C257" s="245" t="s">
        <v>60</v>
      </c>
      <c r="D257" s="246">
        <v>1702.5</v>
      </c>
      <c r="E257" s="246">
        <v>2.2575400000000001</v>
      </c>
      <c r="F257" s="250">
        <f t="shared" ref="F257:F262" si="13">E257*D257</f>
        <v>3843.4618500000001</v>
      </c>
      <c r="G257" s="265"/>
      <c r="H257" s="320"/>
      <c r="I257" s="252"/>
      <c r="J257" s="250"/>
      <c r="K257" s="261"/>
      <c r="L257" s="261"/>
      <c r="M257" s="237"/>
      <c r="N257" s="277"/>
    </row>
    <row r="258" spans="1:15" ht="25.5" x14ac:dyDescent="0.25">
      <c r="A258" s="245" t="s">
        <v>898</v>
      </c>
      <c r="B258" s="248" t="s">
        <v>899</v>
      </c>
      <c r="C258" s="251" t="s">
        <v>60</v>
      </c>
      <c r="D258" s="246">
        <v>1702.5</v>
      </c>
      <c r="E258" s="246">
        <v>10.9</v>
      </c>
      <c r="F258" s="250">
        <v>18552.03</v>
      </c>
      <c r="G258" s="265"/>
      <c r="H258" s="320"/>
      <c r="I258" s="252"/>
      <c r="J258" s="250"/>
      <c r="K258" s="261"/>
      <c r="L258" s="261"/>
      <c r="M258" s="237"/>
      <c r="N258" s="277"/>
    </row>
    <row r="259" spans="1:15" ht="25.5" x14ac:dyDescent="0.25">
      <c r="A259" s="245" t="s">
        <v>900</v>
      </c>
      <c r="B259" s="248" t="s">
        <v>901</v>
      </c>
      <c r="C259" s="251" t="s">
        <v>60</v>
      </c>
      <c r="D259" s="246">
        <v>1702.5</v>
      </c>
      <c r="E259" s="246">
        <v>10.71</v>
      </c>
      <c r="F259" s="250">
        <v>18234.16</v>
      </c>
      <c r="G259" s="265"/>
      <c r="H259" s="320"/>
      <c r="I259" s="252"/>
      <c r="J259" s="250"/>
      <c r="K259" s="261"/>
      <c r="L259" s="261"/>
      <c r="M259" s="237"/>
      <c r="N259" s="277"/>
    </row>
    <row r="260" spans="1:15" s="409" customFormat="1" ht="18.75" x14ac:dyDescent="0.25">
      <c r="A260" s="410" t="s">
        <v>461</v>
      </c>
      <c r="B260" s="494" t="s">
        <v>902</v>
      </c>
      <c r="C260" s="495"/>
      <c r="D260" s="495"/>
      <c r="E260" s="496"/>
      <c r="F260" s="402">
        <f>SUM(F261:F262)</f>
        <v>2122.2599600000003</v>
      </c>
      <c r="G260" s="403"/>
      <c r="H260" s="404"/>
      <c r="I260" s="405"/>
      <c r="J260" s="406"/>
      <c r="K260" s="422">
        <f>SUM(K261:K262)</f>
        <v>0</v>
      </c>
      <c r="L260" s="422">
        <f>SUM(L261:L262)</f>
        <v>0</v>
      </c>
      <c r="M260" s="423">
        <f>SUM(M261:M262)</f>
        <v>0</v>
      </c>
      <c r="N260" s="360"/>
    </row>
    <row r="261" spans="1:15" x14ac:dyDescent="0.25">
      <c r="A261" s="245" t="s">
        <v>903</v>
      </c>
      <c r="B261" s="248" t="s">
        <v>904</v>
      </c>
      <c r="C261" s="251" t="s">
        <v>60</v>
      </c>
      <c r="D261" s="246">
        <v>6.12</v>
      </c>
      <c r="E261" s="246">
        <v>21.736999999999998</v>
      </c>
      <c r="F261" s="250">
        <f t="shared" si="13"/>
        <v>133.03044</v>
      </c>
      <c r="G261" s="265"/>
      <c r="H261" s="320"/>
      <c r="I261" s="252"/>
      <c r="J261" s="250"/>
      <c r="K261" s="261"/>
      <c r="L261" s="261"/>
      <c r="M261" s="237"/>
      <c r="N261" s="277"/>
    </row>
    <row r="262" spans="1:15" x14ac:dyDescent="0.25">
      <c r="A262" s="245" t="s">
        <v>903</v>
      </c>
      <c r="B262" s="248" t="s">
        <v>905</v>
      </c>
      <c r="C262" s="251" t="s">
        <v>60</v>
      </c>
      <c r="D262" s="246">
        <v>136.16</v>
      </c>
      <c r="E262" s="246">
        <v>14.609500000000001</v>
      </c>
      <c r="F262" s="250">
        <f t="shared" si="13"/>
        <v>1989.2295200000001</v>
      </c>
      <c r="G262" s="265"/>
      <c r="H262" s="320"/>
      <c r="I262" s="252"/>
      <c r="J262" s="250"/>
      <c r="K262" s="261"/>
      <c r="L262" s="261"/>
      <c r="M262" s="237"/>
      <c r="N262" s="277"/>
    </row>
    <row r="263" spans="1:15" x14ac:dyDescent="0.25">
      <c r="A263" s="476"/>
      <c r="B263" s="477"/>
      <c r="C263" s="477"/>
      <c r="D263" s="477"/>
      <c r="E263" s="477"/>
      <c r="F263" s="477"/>
      <c r="G263" s="477"/>
      <c r="H263" s="477"/>
      <c r="I263" s="477"/>
      <c r="J263" s="477"/>
      <c r="K263" s="477"/>
      <c r="L263" s="477"/>
      <c r="M263" s="478"/>
      <c r="N263" s="277"/>
    </row>
    <row r="264" spans="1:15" s="361" customFormat="1" ht="18" customHeight="1" x14ac:dyDescent="0.25">
      <c r="A264" s="338" t="s">
        <v>906</v>
      </c>
      <c r="B264" s="503" t="s">
        <v>907</v>
      </c>
      <c r="C264" s="504"/>
      <c r="D264" s="504"/>
      <c r="E264" s="505"/>
      <c r="F264" s="339">
        <f>SUM(F265:F267)+0.01</f>
        <v>2050.7917054999998</v>
      </c>
      <c r="G264" s="340"/>
      <c r="H264" s="341"/>
      <c r="I264" s="342"/>
      <c r="J264" s="359"/>
      <c r="K264" s="398">
        <f>SUM(K265:K267)</f>
        <v>0</v>
      </c>
      <c r="L264" s="398">
        <f>SUM(L265:L267)</f>
        <v>0</v>
      </c>
      <c r="M264" s="400">
        <f>SUM(M265:M267)</f>
        <v>0</v>
      </c>
      <c r="N264" s="360"/>
    </row>
    <row r="265" spans="1:15" x14ac:dyDescent="0.25">
      <c r="A265" s="245" t="s">
        <v>472</v>
      </c>
      <c r="B265" s="248" t="s">
        <v>908</v>
      </c>
      <c r="C265" s="251" t="s">
        <v>81</v>
      </c>
      <c r="D265" s="235">
        <v>27.81</v>
      </c>
      <c r="E265" s="246">
        <v>20.683299999999999</v>
      </c>
      <c r="F265" s="250">
        <f>E265*D265</f>
        <v>575.20257299999992</v>
      </c>
      <c r="G265" s="265"/>
      <c r="H265" s="320"/>
      <c r="I265" s="252"/>
      <c r="J265" s="250"/>
      <c r="K265" s="261"/>
      <c r="L265" s="261"/>
      <c r="M265" s="237"/>
      <c r="N265" s="277"/>
    </row>
    <row r="266" spans="1:15" ht="25.5" x14ac:dyDescent="0.25">
      <c r="A266" s="245" t="s">
        <v>475</v>
      </c>
      <c r="B266" s="248" t="s">
        <v>909</v>
      </c>
      <c r="C266" s="251" t="s">
        <v>152</v>
      </c>
      <c r="D266" s="235">
        <v>2</v>
      </c>
      <c r="E266" s="246">
        <v>208.13489999999999</v>
      </c>
      <c r="F266" s="250">
        <f>E266*D266</f>
        <v>416.26979999999998</v>
      </c>
      <c r="G266" s="265"/>
      <c r="H266" s="320"/>
      <c r="I266" s="252"/>
      <c r="J266" s="250"/>
      <c r="K266" s="261"/>
      <c r="L266" s="261"/>
      <c r="M266" s="237"/>
      <c r="N266" s="277"/>
    </row>
    <row r="267" spans="1:15" x14ac:dyDescent="0.25">
      <c r="A267" s="245" t="s">
        <v>477</v>
      </c>
      <c r="B267" s="248" t="s">
        <v>910</v>
      </c>
      <c r="C267" s="251" t="s">
        <v>81</v>
      </c>
      <c r="D267" s="235">
        <v>502.75</v>
      </c>
      <c r="E267" s="246">
        <v>2.10703</v>
      </c>
      <c r="F267" s="250">
        <f>E267*D267</f>
        <v>1059.3093325</v>
      </c>
      <c r="G267" s="265"/>
      <c r="H267" s="320"/>
      <c r="I267" s="252"/>
      <c r="J267" s="250"/>
      <c r="K267" s="261"/>
      <c r="L267" s="261"/>
      <c r="M267" s="237"/>
      <c r="N267" s="277"/>
    </row>
    <row r="268" spans="1:15" ht="24.95" customHeight="1" x14ac:dyDescent="0.25">
      <c r="A268" s="515" t="s">
        <v>911</v>
      </c>
      <c r="B268" s="516"/>
      <c r="C268" s="516"/>
      <c r="D268" s="516"/>
      <c r="E268" s="516"/>
      <c r="F268" s="516"/>
      <c r="G268" s="516"/>
      <c r="H268" s="516"/>
      <c r="I268" s="516"/>
      <c r="J268" s="516"/>
      <c r="K268" s="517"/>
      <c r="L268" s="384">
        <f>SUM(L264,L255,L247,L241,L234,L194,L157,L119,L105,L101,L89,L86,L51,L26,L22,L16)</f>
        <v>50194.878183950001</v>
      </c>
      <c r="M268" s="385">
        <f>SUM(M264,M255,M247,M241,M234,M194,M157,M119,M105,M101,M89,M86,M51,M26,M22,M16)</f>
        <v>331477.37514190003</v>
      </c>
      <c r="N268" s="388"/>
      <c r="O268" s="539"/>
    </row>
    <row r="269" spans="1:15" x14ac:dyDescent="0.25">
      <c r="L269" s="255"/>
    </row>
    <row r="273" spans="8:13" ht="30" customHeight="1" x14ac:dyDescent="0.25">
      <c r="H273" s="389"/>
      <c r="M273" s="396"/>
    </row>
    <row r="274" spans="8:13" x14ac:dyDescent="0.25">
      <c r="M274" s="427"/>
    </row>
    <row r="275" spans="8:13" x14ac:dyDescent="0.25">
      <c r="M275" s="381"/>
    </row>
    <row r="276" spans="8:13" ht="24.75" customHeight="1" x14ac:dyDescent="0.25">
      <c r="H276" s="389"/>
      <c r="M276" s="278"/>
    </row>
  </sheetData>
  <mergeCells count="11">
    <mergeCell ref="A11:E11"/>
    <mergeCell ref="A12:E12"/>
    <mergeCell ref="A2:C2"/>
    <mergeCell ref="A3:C3"/>
    <mergeCell ref="A7:E7"/>
    <mergeCell ref="A8:E8"/>
    <mergeCell ref="A9:E9"/>
    <mergeCell ref="A10:E10"/>
    <mergeCell ref="A6:M6"/>
    <mergeCell ref="F11:K11"/>
    <mergeCell ref="F12:K1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headerFooter alignWithMargins="0"/>
  <rowBreaks count="7" manualBreakCount="7">
    <brk id="36" max="65535" man="1"/>
    <brk id="71" max="65535" man="1"/>
    <brk id="88" max="65535" man="1"/>
    <brk id="193" max="65535" man="1"/>
    <brk id="210" max="65535" man="1"/>
    <brk id="229" max="65535" man="1"/>
    <brk id="250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7"/>
  <sheetViews>
    <sheetView topLeftCell="A178" zoomScale="130" workbookViewId="0">
      <selection activeCell="T25" sqref="T25"/>
    </sheetView>
  </sheetViews>
  <sheetFormatPr defaultColWidth="15.7109375" defaultRowHeight="12.75" x14ac:dyDescent="0.25"/>
  <cols>
    <col min="1" max="1" width="6.140625" style="231" customWidth="1"/>
    <col min="2" max="2" width="36" style="7" customWidth="1"/>
    <col min="3" max="17" width="7.42578125" style="7" customWidth="1"/>
    <col min="18" max="18" width="9.140625" style="234" customWidth="1"/>
    <col min="19" max="19" width="9.5703125" style="234" customWidth="1"/>
    <col min="20" max="16384" width="15.7109375" style="7"/>
  </cols>
  <sheetData>
    <row r="1" spans="1:20" s="228" customFormat="1" ht="14.25" customHeight="1" x14ac:dyDescent="0.25">
      <c r="A1" s="229"/>
      <c r="R1" s="233"/>
      <c r="S1" s="233"/>
    </row>
    <row r="2" spans="1:20" s="228" customFormat="1" ht="14.25" customHeight="1" x14ac:dyDescent="0.25">
      <c r="A2" s="524" t="s">
        <v>538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</row>
    <row r="3" spans="1:20" s="228" customFormat="1" ht="14.25" customHeight="1" x14ac:dyDescent="0.25">
      <c r="A3" s="524" t="s">
        <v>539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</row>
    <row r="4" spans="1:20" s="228" customFormat="1" ht="14.25" customHeight="1" x14ac:dyDescent="0.25">
      <c r="A4" s="524" t="s">
        <v>540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</row>
    <row r="5" spans="1:20" ht="14.25" x14ac:dyDescent="0.25">
      <c r="A5" s="524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234"/>
    </row>
    <row r="6" spans="1:20" s="228" customFormat="1" ht="15" x14ac:dyDescent="0.25">
      <c r="A6" s="525" t="s">
        <v>912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271"/>
    </row>
    <row r="7" spans="1:20" s="233" customFormat="1" ht="14.25" x14ac:dyDescent="0.25">
      <c r="A7" s="303" t="s">
        <v>506</v>
      </c>
      <c r="B7" s="521" t="s">
        <v>913</v>
      </c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3"/>
      <c r="R7" s="305" t="s">
        <v>508</v>
      </c>
      <c r="S7" s="304" t="s">
        <v>914</v>
      </c>
    </row>
    <row r="8" spans="1:20" x14ac:dyDescent="0.25">
      <c r="A8" s="232" t="s">
        <v>547</v>
      </c>
      <c r="B8" s="526" t="s">
        <v>57</v>
      </c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272"/>
      <c r="S8" s="272"/>
    </row>
    <row r="9" spans="1:20" ht="12.75" customHeight="1" x14ac:dyDescent="0.25">
      <c r="A9" s="301" t="s">
        <v>58</v>
      </c>
      <c r="B9" s="527" t="s">
        <v>915</v>
      </c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297">
        <v>134</v>
      </c>
      <c r="S9" s="298" t="s">
        <v>189</v>
      </c>
    </row>
    <row r="10" spans="1:20" x14ac:dyDescent="0.25">
      <c r="A10" s="230"/>
      <c r="B10" s="127" t="s">
        <v>916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284">
        <v>134</v>
      </c>
      <c r="S10" s="234" t="s">
        <v>189</v>
      </c>
      <c r="T10" s="280"/>
    </row>
    <row r="12" spans="1:20" ht="12.75" customHeight="1" x14ac:dyDescent="0.25">
      <c r="A12" s="301" t="s">
        <v>65</v>
      </c>
      <c r="B12" s="520" t="s">
        <v>550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297">
        <v>10</v>
      </c>
      <c r="S12" s="298" t="s">
        <v>60</v>
      </c>
    </row>
    <row r="13" spans="1:20" x14ac:dyDescent="0.25">
      <c r="A13" s="230"/>
      <c r="B13" s="127" t="s">
        <v>917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284">
        <v>10</v>
      </c>
      <c r="S13" s="234" t="s">
        <v>60</v>
      </c>
    </row>
    <row r="14" spans="1:20" x14ac:dyDescent="0.25">
      <c r="A14" s="230"/>
    </row>
    <row r="15" spans="1:20" ht="12.75" customHeight="1" x14ac:dyDescent="0.25">
      <c r="A15" s="232" t="e">
        <f>#REF!</f>
        <v>#REF!</v>
      </c>
      <c r="B15" s="518" t="e">
        <f>#REF!</f>
        <v>#REF!</v>
      </c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272"/>
      <c r="S15" s="272"/>
    </row>
    <row r="16" spans="1:20" ht="12.75" customHeight="1" x14ac:dyDescent="0.25">
      <c r="A16" s="301" t="e">
        <f>#REF!</f>
        <v>#REF!</v>
      </c>
      <c r="B16" s="520" t="e">
        <f>#REF!</f>
        <v>#REF!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297">
        <f>R22</f>
        <v>24.988000000000007</v>
      </c>
      <c r="S16" s="298" t="s">
        <v>81</v>
      </c>
    </row>
    <row r="17" spans="1:20" x14ac:dyDescent="0.25">
      <c r="A17" s="23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284"/>
    </row>
    <row r="18" spans="1:20" ht="24" customHeight="1" x14ac:dyDescent="0.25">
      <c r="A18" s="230"/>
      <c r="B18" s="127" t="s">
        <v>918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284"/>
    </row>
    <row r="19" spans="1:20" x14ac:dyDescent="0.25">
      <c r="A19" s="23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284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 ht="25.5" x14ac:dyDescent="0.25">
      <c r="A20" s="230"/>
      <c r="B20" s="127" t="s">
        <v>919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284"/>
    </row>
    <row r="21" spans="1:20" x14ac:dyDescent="0.25">
      <c r="A21" s="23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284"/>
    </row>
    <row r="22" spans="1:20" x14ac:dyDescent="0.25">
      <c r="A22" s="230"/>
      <c r="B22" s="519" t="s">
        <v>920</v>
      </c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306">
        <f>(312.35/2)*(0.4*0.4)</f>
        <v>24.988000000000007</v>
      </c>
      <c r="S22" s="299" t="s">
        <v>81</v>
      </c>
    </row>
    <row r="23" spans="1:20" x14ac:dyDescent="0.25">
      <c r="A23" s="23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20" ht="12.75" customHeight="1" x14ac:dyDescent="0.25">
      <c r="A24" s="232" t="s">
        <v>555</v>
      </c>
      <c r="B24" s="518" t="s">
        <v>556</v>
      </c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272"/>
      <c r="S24" s="272"/>
    </row>
    <row r="25" spans="1:20" ht="12.75" customHeight="1" x14ac:dyDescent="0.25">
      <c r="A25" s="232" t="s">
        <v>95</v>
      </c>
      <c r="B25" s="518" t="s">
        <v>557</v>
      </c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272"/>
      <c r="S25" s="272"/>
    </row>
    <row r="26" spans="1:20" ht="12.75" customHeight="1" x14ac:dyDescent="0.25">
      <c r="A26" s="301" t="s">
        <v>97</v>
      </c>
      <c r="B26" s="520" t="s">
        <v>558</v>
      </c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298">
        <f>R27</f>
        <v>26.04</v>
      </c>
      <c r="S26" s="298" t="s">
        <v>81</v>
      </c>
    </row>
    <row r="27" spans="1:20" ht="38.25" x14ac:dyDescent="0.25">
      <c r="A27" s="230"/>
      <c r="B27" s="127" t="s">
        <v>921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234">
        <f>(52*0.8*0.7*0.6)+(14*0.8*0.7*0.6)+(7*0.8*0.7*0.6)+(4*0.9*0.7*0.6)</f>
        <v>26.04</v>
      </c>
      <c r="S27" s="234" t="s">
        <v>81</v>
      </c>
    </row>
    <row r="29" spans="1:20" ht="12.75" customHeight="1" x14ac:dyDescent="0.25">
      <c r="A29" s="301" t="s">
        <v>100</v>
      </c>
      <c r="B29" s="520" t="s">
        <v>559</v>
      </c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297">
        <v>43.4</v>
      </c>
      <c r="S29" s="298" t="s">
        <v>60</v>
      </c>
    </row>
    <row r="30" spans="1:20" ht="38.25" x14ac:dyDescent="0.25">
      <c r="A30" s="230"/>
      <c r="B30" s="127" t="s">
        <v>922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284">
        <v>43.4</v>
      </c>
      <c r="S30" s="234" t="s">
        <v>60</v>
      </c>
    </row>
    <row r="31" spans="1:20" x14ac:dyDescent="0.25">
      <c r="A31" s="270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73"/>
      <c r="S31" s="273"/>
    </row>
    <row r="32" spans="1:20" ht="12.75" customHeight="1" x14ac:dyDescent="0.25">
      <c r="A32" s="301" t="s">
        <v>103</v>
      </c>
      <c r="B32" s="520" t="s">
        <v>560</v>
      </c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298">
        <v>2.17</v>
      </c>
      <c r="S32" s="298" t="s">
        <v>81</v>
      </c>
    </row>
    <row r="33" spans="1:19" x14ac:dyDescent="0.25">
      <c r="A33" s="230"/>
      <c r="B33" s="127" t="s">
        <v>923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234">
        <v>2.17</v>
      </c>
      <c r="S33" s="234" t="s">
        <v>81</v>
      </c>
    </row>
    <row r="34" spans="1:19" x14ac:dyDescent="0.25">
      <c r="A34" s="270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73"/>
      <c r="S34" s="273"/>
    </row>
    <row r="35" spans="1:19" ht="12.75" customHeight="1" x14ac:dyDescent="0.25">
      <c r="A35" s="301" t="s">
        <v>561</v>
      </c>
      <c r="B35" s="520" t="s">
        <v>924</v>
      </c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298">
        <f>SUM(R38:R44)</f>
        <v>62.849999999999987</v>
      </c>
      <c r="S35" s="298" t="s">
        <v>60</v>
      </c>
    </row>
    <row r="36" spans="1:19" x14ac:dyDescent="0.25">
      <c r="A36" s="270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3"/>
      <c r="S36" s="273"/>
    </row>
    <row r="37" spans="1:19" ht="25.5" x14ac:dyDescent="0.25">
      <c r="A37" s="230"/>
      <c r="B37" s="127" t="s">
        <v>925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</row>
    <row r="38" spans="1:19" x14ac:dyDescent="0.25">
      <c r="A38" s="230"/>
      <c r="B38" s="127" t="s">
        <v>926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284">
        <f>52*(0.6*2+0.7*2+0.05*2)*0.25</f>
        <v>35.099999999999994</v>
      </c>
    </row>
    <row r="39" spans="1:19" ht="25.5" x14ac:dyDescent="0.25">
      <c r="A39" s="230"/>
      <c r="B39" s="127" t="s">
        <v>927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</row>
    <row r="40" spans="1:19" x14ac:dyDescent="0.25">
      <c r="A40" s="230"/>
      <c r="B40" s="127" t="s">
        <v>928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284">
        <f>13*(0.6*2+0.7*2+0.05*2)*0.35</f>
        <v>12.284999999999997</v>
      </c>
    </row>
    <row r="41" spans="1:19" ht="25.5" x14ac:dyDescent="0.25">
      <c r="A41" s="230"/>
      <c r="B41" s="127" t="s">
        <v>929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</row>
    <row r="42" spans="1:19" x14ac:dyDescent="0.25">
      <c r="A42" s="230"/>
      <c r="B42" s="127" t="s">
        <v>930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284">
        <f>7*(0.6*2+0.7*2+0.05*2)*0.45</f>
        <v>8.504999999999999</v>
      </c>
    </row>
    <row r="43" spans="1:19" ht="25.5" x14ac:dyDescent="0.25">
      <c r="A43" s="230"/>
      <c r="B43" s="127" t="s">
        <v>931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19" x14ac:dyDescent="0.25">
      <c r="A44" s="230"/>
      <c r="B44" s="127" t="s">
        <v>932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234">
        <f>4*(0.6*2+0.8*2+0.05*2)*0.6</f>
        <v>6.96</v>
      </c>
    </row>
    <row r="45" spans="1:19" x14ac:dyDescent="0.25">
      <c r="A45" s="23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</row>
    <row r="46" spans="1:19" ht="12.75" customHeight="1" x14ac:dyDescent="0.25">
      <c r="A46" s="301" t="s">
        <v>563</v>
      </c>
      <c r="B46" s="520" t="s">
        <v>933</v>
      </c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297">
        <v>127.6</v>
      </c>
      <c r="S46" s="298" t="s">
        <v>565</v>
      </c>
    </row>
    <row r="47" spans="1:19" x14ac:dyDescent="0.25">
      <c r="A47" s="230"/>
      <c r="B47" s="127" t="s">
        <v>934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284"/>
    </row>
    <row r="48" spans="1:19" x14ac:dyDescent="0.25">
      <c r="A48" s="230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284"/>
    </row>
    <row r="49" spans="1:19" ht="12.75" customHeight="1" x14ac:dyDescent="0.25">
      <c r="A49" s="301" t="s">
        <v>566</v>
      </c>
      <c r="B49" s="520" t="s">
        <v>935</v>
      </c>
      <c r="C49" s="520"/>
      <c r="D49" s="520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297">
        <v>285.8</v>
      </c>
      <c r="S49" s="298" t="s">
        <v>565</v>
      </c>
    </row>
    <row r="50" spans="1:19" x14ac:dyDescent="0.25">
      <c r="A50" s="270"/>
      <c r="B50" s="274" t="s">
        <v>934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89"/>
      <c r="S50" s="273"/>
    </row>
    <row r="51" spans="1:19" x14ac:dyDescent="0.25">
      <c r="A51" s="270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89"/>
      <c r="S51" s="273"/>
    </row>
    <row r="52" spans="1:19" ht="12.75" customHeight="1" x14ac:dyDescent="0.25">
      <c r="A52" s="301" t="s">
        <v>568</v>
      </c>
      <c r="B52" s="520" t="s">
        <v>936</v>
      </c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297">
        <v>149.30000000000001</v>
      </c>
      <c r="S52" s="298" t="s">
        <v>565</v>
      </c>
    </row>
    <row r="53" spans="1:19" x14ac:dyDescent="0.25">
      <c r="A53" s="270"/>
      <c r="B53" s="274" t="s">
        <v>934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89"/>
      <c r="S53" s="273"/>
    </row>
    <row r="54" spans="1:19" x14ac:dyDescent="0.25">
      <c r="A54" s="270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89"/>
      <c r="S54" s="273"/>
    </row>
    <row r="55" spans="1:19" ht="12.75" customHeight="1" x14ac:dyDescent="0.25">
      <c r="A55" s="301" t="s">
        <v>570</v>
      </c>
      <c r="B55" s="520" t="s">
        <v>937</v>
      </c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297">
        <v>396.5</v>
      </c>
      <c r="S55" s="298" t="s">
        <v>565</v>
      </c>
    </row>
    <row r="56" spans="1:19" x14ac:dyDescent="0.25">
      <c r="A56" s="270"/>
      <c r="B56" s="274" t="s">
        <v>934</v>
      </c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89"/>
      <c r="S56" s="273"/>
    </row>
    <row r="57" spans="1:19" x14ac:dyDescent="0.25">
      <c r="A57" s="270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89"/>
      <c r="S57" s="273"/>
    </row>
    <row r="58" spans="1:19" ht="12.75" customHeight="1" x14ac:dyDescent="0.25">
      <c r="A58" s="301" t="s">
        <v>572</v>
      </c>
      <c r="B58" s="520" t="s">
        <v>938</v>
      </c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297">
        <v>187.4</v>
      </c>
      <c r="S58" s="298" t="s">
        <v>565</v>
      </c>
    </row>
    <row r="59" spans="1:19" x14ac:dyDescent="0.25">
      <c r="A59" s="270"/>
      <c r="B59" s="274" t="s">
        <v>934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89"/>
      <c r="S59" s="273"/>
    </row>
    <row r="60" spans="1:19" x14ac:dyDescent="0.25">
      <c r="A60" s="270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89"/>
      <c r="S60" s="273"/>
    </row>
    <row r="61" spans="1:19" ht="12.75" customHeight="1" x14ac:dyDescent="0.25">
      <c r="A61" s="301" t="s">
        <v>574</v>
      </c>
      <c r="B61" s="520" t="s">
        <v>939</v>
      </c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297">
        <v>298.3</v>
      </c>
      <c r="S61" s="298" t="s">
        <v>565</v>
      </c>
    </row>
    <row r="62" spans="1:19" x14ac:dyDescent="0.25">
      <c r="A62" s="270"/>
      <c r="B62" s="274" t="s">
        <v>934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89"/>
      <c r="S62" s="273"/>
    </row>
    <row r="63" spans="1:19" x14ac:dyDescent="0.25">
      <c r="A63" s="270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89"/>
      <c r="S63" s="273"/>
    </row>
    <row r="64" spans="1:19" ht="12.75" customHeight="1" x14ac:dyDescent="0.25">
      <c r="A64" s="301" t="s">
        <v>576</v>
      </c>
      <c r="B64" s="520" t="s">
        <v>940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297">
        <v>170.9</v>
      </c>
      <c r="S64" s="298" t="s">
        <v>565</v>
      </c>
    </row>
    <row r="65" spans="1:20" x14ac:dyDescent="0.25">
      <c r="A65" s="270"/>
      <c r="B65" s="274" t="s">
        <v>934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89"/>
      <c r="S65" s="273"/>
    </row>
    <row r="66" spans="1:20" x14ac:dyDescent="0.25">
      <c r="A66" s="270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89"/>
      <c r="S66" s="273"/>
    </row>
    <row r="67" spans="1:20" ht="12.75" customHeight="1" x14ac:dyDescent="0.25">
      <c r="A67" s="301" t="s">
        <v>578</v>
      </c>
      <c r="B67" s="520" t="s">
        <v>579</v>
      </c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297">
        <f>C200</f>
        <v>10.59</v>
      </c>
      <c r="S67" s="298" t="s">
        <v>941</v>
      </c>
    </row>
    <row r="68" spans="1:20" x14ac:dyDescent="0.25">
      <c r="A68" s="270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3"/>
      <c r="S68" s="273"/>
    </row>
    <row r="69" spans="1:20" ht="25.5" x14ac:dyDescent="0.25">
      <c r="A69" s="270"/>
      <c r="B69" s="225" t="s">
        <v>925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73"/>
      <c r="S69" s="273"/>
    </row>
    <row r="70" spans="1:20" x14ac:dyDescent="0.25">
      <c r="A70" s="270"/>
      <c r="B70" s="274" t="s">
        <v>942</v>
      </c>
      <c r="C70" s="281">
        <v>0.7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3"/>
      <c r="S70" s="273"/>
    </row>
    <row r="71" spans="1:20" x14ac:dyDescent="0.25">
      <c r="A71" s="270"/>
      <c r="B71" s="274" t="s">
        <v>943</v>
      </c>
      <c r="C71" s="282" t="s">
        <v>944</v>
      </c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3"/>
      <c r="S71" s="273"/>
    </row>
    <row r="72" spans="1:20" x14ac:dyDescent="0.25">
      <c r="A72" s="270"/>
      <c r="B72" s="274" t="s">
        <v>945</v>
      </c>
      <c r="C72" s="282" t="s">
        <v>946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3"/>
      <c r="S72" s="273"/>
    </row>
    <row r="73" spans="1:20" x14ac:dyDescent="0.25">
      <c r="A73" s="270"/>
      <c r="B73" s="274" t="s">
        <v>947</v>
      </c>
      <c r="C73" s="282" t="s">
        <v>948</v>
      </c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3"/>
      <c r="S73" s="273"/>
    </row>
    <row r="74" spans="1:20" x14ac:dyDescent="0.25">
      <c r="A74" s="270"/>
      <c r="B74" s="274" t="s">
        <v>949</v>
      </c>
      <c r="C74" s="282" t="s">
        <v>950</v>
      </c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3"/>
      <c r="S74" s="273"/>
    </row>
    <row r="75" spans="1:20" x14ac:dyDescent="0.25">
      <c r="A75" s="270"/>
      <c r="B75" s="274" t="s">
        <v>951</v>
      </c>
      <c r="C75" s="282" t="s">
        <v>952</v>
      </c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3"/>
      <c r="S75" s="273"/>
    </row>
    <row r="76" spans="1:20" x14ac:dyDescent="0.25">
      <c r="A76" s="270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73"/>
      <c r="S76" s="273"/>
    </row>
    <row r="77" spans="1:20" x14ac:dyDescent="0.25">
      <c r="A77" s="270"/>
      <c r="B77" s="127"/>
      <c r="C77" s="286" t="s">
        <v>953</v>
      </c>
      <c r="D77" s="127"/>
      <c r="E77" s="286" t="s">
        <v>954</v>
      </c>
      <c r="F77" s="127"/>
      <c r="G77" s="286" t="s">
        <v>945</v>
      </c>
      <c r="H77" s="127"/>
      <c r="I77" s="127"/>
      <c r="J77" s="127" t="s">
        <v>955</v>
      </c>
      <c r="K77" s="127"/>
      <c r="L77" s="127"/>
      <c r="M77" s="127"/>
      <c r="N77" s="127"/>
      <c r="O77" s="127"/>
      <c r="P77" s="127"/>
      <c r="Q77" s="127"/>
      <c r="R77" s="273"/>
      <c r="S77" s="273"/>
    </row>
    <row r="78" spans="1:20" x14ac:dyDescent="0.25">
      <c r="A78" s="270"/>
      <c r="B78" s="127" t="s">
        <v>956</v>
      </c>
      <c r="C78" s="284">
        <f>C70</f>
        <v>0.7</v>
      </c>
      <c r="D78" s="234" t="s">
        <v>957</v>
      </c>
      <c r="E78" s="234" t="str">
        <f>C71</f>
        <v>0,60</v>
      </c>
      <c r="F78" s="234" t="s">
        <v>957</v>
      </c>
      <c r="G78" s="234" t="str">
        <f>C72</f>
        <v>0,25</v>
      </c>
      <c r="H78" s="234"/>
      <c r="I78" s="234" t="s">
        <v>958</v>
      </c>
      <c r="J78" s="234">
        <f>C78*E78*G78</f>
        <v>0.105</v>
      </c>
      <c r="K78" s="127" t="s">
        <v>81</v>
      </c>
      <c r="L78" s="127"/>
      <c r="M78" s="127"/>
      <c r="N78" s="127"/>
      <c r="O78" s="127"/>
      <c r="P78" s="127"/>
      <c r="Q78" s="127"/>
      <c r="R78" s="273"/>
      <c r="S78" s="273"/>
    </row>
    <row r="79" spans="1:20" x14ac:dyDescent="0.25">
      <c r="A79" s="270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273"/>
      <c r="S79" s="273"/>
      <c r="T79" s="7">
        <f>0.105+0.018</f>
        <v>0.123</v>
      </c>
    </row>
    <row r="80" spans="1:20" x14ac:dyDescent="0.25">
      <c r="A80" s="270"/>
      <c r="B80" s="127" t="s">
        <v>959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273"/>
      <c r="S80" s="273"/>
    </row>
    <row r="81" spans="1:19" x14ac:dyDescent="0.25">
      <c r="A81" s="270"/>
      <c r="B81" s="127"/>
      <c r="C81" s="230" t="s">
        <v>960</v>
      </c>
      <c r="D81" s="234"/>
      <c r="E81" s="230" t="s">
        <v>961</v>
      </c>
      <c r="F81" s="234"/>
      <c r="G81" s="234"/>
      <c r="H81" s="234"/>
      <c r="I81" s="127"/>
      <c r="J81" s="127"/>
      <c r="K81" s="127"/>
      <c r="L81" s="127"/>
      <c r="M81" s="127"/>
      <c r="N81" s="127"/>
      <c r="O81" s="127"/>
      <c r="P81" s="127"/>
      <c r="Q81" s="127"/>
      <c r="R81" s="273"/>
      <c r="S81" s="273"/>
    </row>
    <row r="82" spans="1:19" x14ac:dyDescent="0.25">
      <c r="A82" s="270"/>
      <c r="B82" s="127" t="s">
        <v>962</v>
      </c>
      <c r="C82" s="285" t="str">
        <f>C71</f>
        <v>0,60</v>
      </c>
      <c r="D82" s="234" t="s">
        <v>957</v>
      </c>
      <c r="E82" s="285" t="str">
        <f>C71</f>
        <v>0,60</v>
      </c>
      <c r="F82" s="234" t="s">
        <v>958</v>
      </c>
      <c r="G82" s="234">
        <f>C82*E82</f>
        <v>0.36</v>
      </c>
      <c r="H82" s="127" t="s">
        <v>60</v>
      </c>
      <c r="I82" s="127"/>
      <c r="J82" s="127"/>
      <c r="K82" s="127"/>
      <c r="L82" s="127"/>
      <c r="M82" s="127"/>
      <c r="N82" s="127"/>
      <c r="O82" s="127"/>
      <c r="P82" s="127"/>
      <c r="Q82" s="127"/>
      <c r="R82" s="273"/>
      <c r="S82" s="273"/>
    </row>
    <row r="83" spans="1:19" x14ac:dyDescent="0.25">
      <c r="A83" s="270"/>
      <c r="B83" s="127"/>
      <c r="C83" s="234"/>
      <c r="D83" s="234"/>
      <c r="E83" s="234"/>
      <c r="F83" s="234"/>
      <c r="G83" s="234"/>
      <c r="H83" s="234"/>
      <c r="I83" s="127"/>
      <c r="J83" s="127"/>
      <c r="K83" s="127"/>
      <c r="L83" s="127"/>
      <c r="M83" s="127"/>
      <c r="N83" s="127"/>
      <c r="O83" s="127"/>
      <c r="P83" s="127"/>
      <c r="Q83" s="127"/>
      <c r="R83" s="273"/>
      <c r="S83" s="273"/>
    </row>
    <row r="84" spans="1:19" x14ac:dyDescent="0.25">
      <c r="A84" s="270"/>
      <c r="B84" s="127"/>
      <c r="C84" s="230" t="s">
        <v>963</v>
      </c>
      <c r="D84" s="230"/>
      <c r="E84" s="230" t="s">
        <v>964</v>
      </c>
      <c r="F84" s="230"/>
      <c r="G84" s="230"/>
      <c r="H84" s="234"/>
      <c r="I84" s="127"/>
      <c r="J84" s="127"/>
      <c r="K84" s="127"/>
      <c r="L84" s="127"/>
      <c r="M84" s="127"/>
      <c r="N84" s="127"/>
      <c r="O84" s="127"/>
      <c r="P84" s="127"/>
      <c r="Q84" s="127"/>
      <c r="R84" s="273"/>
      <c r="S84" s="273"/>
    </row>
    <row r="85" spans="1:19" x14ac:dyDescent="0.25">
      <c r="A85" s="270"/>
      <c r="B85" s="127"/>
      <c r="C85" s="285" t="str">
        <f>C73</f>
        <v>0,30</v>
      </c>
      <c r="D85" s="234" t="s">
        <v>957</v>
      </c>
      <c r="E85" s="285" t="str">
        <f>C74</f>
        <v>0,15</v>
      </c>
      <c r="F85" s="234" t="s">
        <v>958</v>
      </c>
      <c r="G85" s="284">
        <f>C85*E85</f>
        <v>4.4999999999999998E-2</v>
      </c>
      <c r="H85" s="234" t="s">
        <v>60</v>
      </c>
      <c r="I85" s="127"/>
      <c r="J85" s="127"/>
      <c r="K85" s="127"/>
      <c r="L85" s="127"/>
      <c r="M85" s="127"/>
      <c r="N85" s="127"/>
      <c r="O85" s="127"/>
      <c r="P85" s="127"/>
      <c r="Q85" s="127"/>
      <c r="R85" s="273"/>
      <c r="S85" s="273"/>
    </row>
    <row r="86" spans="1:19" x14ac:dyDescent="0.25">
      <c r="A86" s="270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273"/>
      <c r="S86" s="273"/>
    </row>
    <row r="87" spans="1:19" ht="21" customHeight="1" x14ac:dyDescent="0.25">
      <c r="A87" s="270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273"/>
      <c r="S87" s="273"/>
    </row>
    <row r="88" spans="1:19" x14ac:dyDescent="0.25">
      <c r="A88" s="270"/>
      <c r="B88" s="127" t="s">
        <v>959</v>
      </c>
      <c r="C88" s="287">
        <f>(C75/3)*(G82+G85+(SQRT(G82*G85)))</f>
        <v>1.7742640687119282E-2</v>
      </c>
      <c r="D88" s="127" t="s">
        <v>81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273"/>
      <c r="S88" s="273"/>
    </row>
    <row r="89" spans="1:19" x14ac:dyDescent="0.25">
      <c r="A89" s="270"/>
      <c r="B89" s="127"/>
      <c r="C89" s="28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273"/>
      <c r="S89" s="273"/>
    </row>
    <row r="90" spans="1:19" x14ac:dyDescent="0.25">
      <c r="A90" s="270"/>
      <c r="B90" s="127" t="s">
        <v>965</v>
      </c>
      <c r="C90" s="287">
        <f>C88+J78</f>
        <v>0.12274264068711928</v>
      </c>
      <c r="D90" s="127" t="s">
        <v>81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273"/>
      <c r="S90" s="273"/>
    </row>
    <row r="91" spans="1:19" x14ac:dyDescent="0.25">
      <c r="A91" s="270"/>
      <c r="B91" s="127"/>
      <c r="C91" s="28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273"/>
      <c r="S91" s="273"/>
    </row>
    <row r="92" spans="1:19" x14ac:dyDescent="0.25">
      <c r="A92" s="270"/>
      <c r="B92" s="127"/>
      <c r="C92" s="288" t="s">
        <v>966</v>
      </c>
      <c r="D92" s="234"/>
      <c r="E92" s="234" t="s">
        <v>967</v>
      </c>
      <c r="F92" s="234"/>
      <c r="G92" s="234" t="s">
        <v>955</v>
      </c>
      <c r="H92" s="234"/>
      <c r="I92" s="127"/>
      <c r="J92" s="127"/>
      <c r="K92" s="127"/>
      <c r="L92" s="127"/>
      <c r="M92" s="127"/>
      <c r="N92" s="127"/>
      <c r="O92" s="127"/>
      <c r="P92" s="127"/>
      <c r="Q92" s="127"/>
      <c r="R92" s="273"/>
      <c r="S92" s="273"/>
    </row>
    <row r="93" spans="1:19" x14ac:dyDescent="0.25">
      <c r="A93" s="270"/>
      <c r="B93" s="127" t="s">
        <v>968</v>
      </c>
      <c r="C93" s="288">
        <f>C90</f>
        <v>0.12274264068711928</v>
      </c>
      <c r="D93" s="234" t="s">
        <v>969</v>
      </c>
      <c r="E93" s="234">
        <v>52</v>
      </c>
      <c r="F93" s="234" t="s">
        <v>970</v>
      </c>
      <c r="G93" s="284">
        <f>C93*E93</f>
        <v>6.3826173157302026</v>
      </c>
      <c r="H93" s="234" t="s">
        <v>81</v>
      </c>
      <c r="I93" s="127"/>
      <c r="J93" s="127"/>
      <c r="K93" s="127"/>
      <c r="L93" s="127"/>
      <c r="M93" s="127"/>
      <c r="N93" s="127"/>
      <c r="O93" s="127"/>
      <c r="P93" s="127"/>
      <c r="Q93" s="127"/>
      <c r="R93" s="273"/>
      <c r="S93" s="273"/>
    </row>
    <row r="94" spans="1:19" x14ac:dyDescent="0.25">
      <c r="A94" s="270"/>
      <c r="B94" s="127"/>
      <c r="C94" s="28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273"/>
      <c r="S94" s="273"/>
    </row>
    <row r="95" spans="1:19" ht="25.5" x14ac:dyDescent="0.25">
      <c r="A95" s="270"/>
      <c r="B95" s="225" t="s">
        <v>927</v>
      </c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73"/>
      <c r="S95" s="273"/>
    </row>
    <row r="96" spans="1:19" x14ac:dyDescent="0.25">
      <c r="A96" s="270"/>
      <c r="B96" s="274" t="s">
        <v>942</v>
      </c>
      <c r="C96" s="281">
        <v>0.7</v>
      </c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3"/>
      <c r="S96" s="273"/>
    </row>
    <row r="97" spans="1:20" x14ac:dyDescent="0.25">
      <c r="A97" s="270"/>
      <c r="B97" s="274" t="s">
        <v>943</v>
      </c>
      <c r="C97" s="282" t="s">
        <v>944</v>
      </c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3"/>
      <c r="S97" s="273"/>
    </row>
    <row r="98" spans="1:20" x14ac:dyDescent="0.25">
      <c r="A98" s="270"/>
      <c r="B98" s="274" t="s">
        <v>945</v>
      </c>
      <c r="C98" s="281">
        <v>0.35</v>
      </c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3"/>
      <c r="S98" s="273"/>
    </row>
    <row r="99" spans="1:20" x14ac:dyDescent="0.25">
      <c r="A99" s="270"/>
      <c r="B99" s="274" t="s">
        <v>947</v>
      </c>
      <c r="C99" s="282" t="s">
        <v>948</v>
      </c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3"/>
      <c r="S99" s="273"/>
    </row>
    <row r="100" spans="1:20" x14ac:dyDescent="0.25">
      <c r="A100" s="270"/>
      <c r="B100" s="274" t="s">
        <v>949</v>
      </c>
      <c r="C100" s="282" t="s">
        <v>950</v>
      </c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3"/>
      <c r="S100" s="273"/>
    </row>
    <row r="101" spans="1:20" x14ac:dyDescent="0.25">
      <c r="A101" s="270"/>
      <c r="B101" s="274" t="s">
        <v>951</v>
      </c>
      <c r="C101" s="282" t="s">
        <v>952</v>
      </c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3"/>
      <c r="S101" s="273"/>
    </row>
    <row r="102" spans="1:20" x14ac:dyDescent="0.25">
      <c r="A102" s="270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273"/>
      <c r="S102" s="273"/>
    </row>
    <row r="103" spans="1:20" x14ac:dyDescent="0.25">
      <c r="A103" s="270"/>
      <c r="B103" s="127"/>
      <c r="C103" s="286" t="s">
        <v>953</v>
      </c>
      <c r="D103" s="127"/>
      <c r="E103" s="286" t="s">
        <v>954</v>
      </c>
      <c r="F103" s="127"/>
      <c r="G103" s="286" t="s">
        <v>945</v>
      </c>
      <c r="H103" s="127"/>
      <c r="I103" s="127"/>
      <c r="J103" s="127" t="s">
        <v>955</v>
      </c>
      <c r="K103" s="127"/>
      <c r="L103" s="127"/>
      <c r="M103" s="127"/>
      <c r="N103" s="127"/>
      <c r="O103" s="127"/>
      <c r="P103" s="127"/>
      <c r="Q103" s="127"/>
      <c r="R103" s="273"/>
      <c r="S103" s="273"/>
    </row>
    <row r="104" spans="1:20" x14ac:dyDescent="0.25">
      <c r="A104" s="270"/>
      <c r="B104" s="127" t="s">
        <v>956</v>
      </c>
      <c r="C104" s="284">
        <f>C96</f>
        <v>0.7</v>
      </c>
      <c r="D104" s="234" t="s">
        <v>957</v>
      </c>
      <c r="E104" s="234" t="str">
        <f>C97</f>
        <v>0,60</v>
      </c>
      <c r="F104" s="234" t="s">
        <v>957</v>
      </c>
      <c r="G104" s="234">
        <f>C98</f>
        <v>0.35</v>
      </c>
      <c r="H104" s="234"/>
      <c r="I104" s="234" t="s">
        <v>958</v>
      </c>
      <c r="J104" s="234">
        <f>C104*E104*G104</f>
        <v>0.14699999999999999</v>
      </c>
      <c r="K104" s="127" t="s">
        <v>81</v>
      </c>
      <c r="L104" s="127"/>
      <c r="M104" s="127"/>
      <c r="N104" s="127"/>
      <c r="O104" s="127"/>
      <c r="P104" s="127"/>
      <c r="Q104" s="127"/>
      <c r="R104" s="273"/>
      <c r="S104" s="273"/>
    </row>
    <row r="105" spans="1:20" x14ac:dyDescent="0.25">
      <c r="A105" s="270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273"/>
      <c r="S105" s="273"/>
    </row>
    <row r="106" spans="1:20" x14ac:dyDescent="0.25">
      <c r="A106" s="270"/>
      <c r="B106" s="127" t="s">
        <v>959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273"/>
      <c r="S106" s="273"/>
    </row>
    <row r="107" spans="1:20" x14ac:dyDescent="0.25">
      <c r="A107" s="270"/>
      <c r="B107" s="127"/>
      <c r="C107" s="230" t="s">
        <v>960</v>
      </c>
      <c r="D107" s="234"/>
      <c r="E107" s="230" t="s">
        <v>961</v>
      </c>
      <c r="F107" s="234"/>
      <c r="G107" s="234"/>
      <c r="H107" s="234"/>
      <c r="I107" s="127"/>
      <c r="J107" s="127"/>
      <c r="K107" s="127"/>
      <c r="L107" s="127"/>
      <c r="M107" s="127"/>
      <c r="N107" s="127"/>
      <c r="O107" s="127"/>
      <c r="P107" s="127"/>
      <c r="Q107" s="127"/>
      <c r="R107" s="273"/>
      <c r="S107" s="273"/>
      <c r="T107" s="7">
        <f>0.147+0.018</f>
        <v>0.16499999999999998</v>
      </c>
    </row>
    <row r="108" spans="1:20" x14ac:dyDescent="0.25">
      <c r="A108" s="270"/>
      <c r="B108" s="127" t="s">
        <v>962</v>
      </c>
      <c r="C108" s="285" t="str">
        <f>C97</f>
        <v>0,60</v>
      </c>
      <c r="D108" s="234" t="s">
        <v>957</v>
      </c>
      <c r="E108" s="285" t="str">
        <f>C97</f>
        <v>0,60</v>
      </c>
      <c r="F108" s="234" t="s">
        <v>958</v>
      </c>
      <c r="G108" s="234">
        <f>C108*E108</f>
        <v>0.36</v>
      </c>
      <c r="H108" s="127" t="s">
        <v>60</v>
      </c>
      <c r="I108" s="127"/>
      <c r="J108" s="127"/>
      <c r="K108" s="127"/>
      <c r="L108" s="127"/>
      <c r="M108" s="127"/>
      <c r="N108" s="127"/>
      <c r="O108" s="127"/>
      <c r="P108" s="127"/>
      <c r="Q108" s="127"/>
      <c r="R108" s="273"/>
      <c r="S108" s="273"/>
    </row>
    <row r="109" spans="1:20" x14ac:dyDescent="0.25">
      <c r="A109" s="270"/>
      <c r="B109" s="127"/>
      <c r="C109" s="234"/>
      <c r="D109" s="234"/>
      <c r="E109" s="234"/>
      <c r="F109" s="234"/>
      <c r="G109" s="234"/>
      <c r="H109" s="234"/>
      <c r="I109" s="127"/>
      <c r="J109" s="127"/>
      <c r="K109" s="127"/>
      <c r="L109" s="127"/>
      <c r="M109" s="127"/>
      <c r="N109" s="127"/>
      <c r="O109" s="127"/>
      <c r="P109" s="127"/>
      <c r="Q109" s="127"/>
      <c r="R109" s="273"/>
      <c r="S109" s="273"/>
    </row>
    <row r="110" spans="1:20" x14ac:dyDescent="0.25">
      <c r="A110" s="270"/>
      <c r="B110" s="127"/>
      <c r="C110" s="230" t="s">
        <v>963</v>
      </c>
      <c r="D110" s="230"/>
      <c r="E110" s="230" t="s">
        <v>964</v>
      </c>
      <c r="F110" s="230"/>
      <c r="G110" s="230"/>
      <c r="H110" s="234"/>
      <c r="I110" s="127"/>
      <c r="J110" s="127"/>
      <c r="K110" s="127"/>
      <c r="L110" s="127"/>
      <c r="M110" s="127"/>
      <c r="N110" s="127"/>
      <c r="O110" s="127"/>
      <c r="P110" s="127"/>
      <c r="Q110" s="127"/>
      <c r="R110" s="273"/>
      <c r="S110" s="273"/>
    </row>
    <row r="111" spans="1:20" x14ac:dyDescent="0.25">
      <c r="A111" s="270"/>
      <c r="B111" s="127"/>
      <c r="C111" s="285" t="str">
        <f>C99</f>
        <v>0,30</v>
      </c>
      <c r="D111" s="234" t="s">
        <v>957</v>
      </c>
      <c r="E111" s="285" t="str">
        <f>C100</f>
        <v>0,15</v>
      </c>
      <c r="F111" s="234" t="s">
        <v>958</v>
      </c>
      <c r="G111" s="284">
        <f>C111*E111</f>
        <v>4.4999999999999998E-2</v>
      </c>
      <c r="H111" s="234" t="s">
        <v>60</v>
      </c>
      <c r="I111" s="127"/>
      <c r="J111" s="127"/>
      <c r="K111" s="127"/>
      <c r="L111" s="127"/>
      <c r="M111" s="127"/>
      <c r="N111" s="127"/>
      <c r="O111" s="127"/>
      <c r="P111" s="127"/>
      <c r="Q111" s="127"/>
      <c r="R111" s="273"/>
      <c r="S111" s="273"/>
    </row>
    <row r="112" spans="1:20" x14ac:dyDescent="0.25">
      <c r="A112" s="270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273"/>
      <c r="S112" s="273"/>
    </row>
    <row r="113" spans="1:19" ht="21" customHeight="1" x14ac:dyDescent="0.25">
      <c r="A113" s="270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273"/>
      <c r="S113" s="273"/>
    </row>
    <row r="114" spans="1:19" x14ac:dyDescent="0.25">
      <c r="A114" s="270"/>
      <c r="B114" s="127" t="s">
        <v>959</v>
      </c>
      <c r="C114" s="287">
        <f>(C101/3)*(G108+G111+(SQRT(G108*G111)))</f>
        <v>1.7742640687119282E-2</v>
      </c>
      <c r="D114" s="127" t="s">
        <v>81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273"/>
      <c r="S114" s="273"/>
    </row>
    <row r="115" spans="1:19" x14ac:dyDescent="0.25">
      <c r="A115" s="270"/>
      <c r="B115" s="127"/>
      <c r="C115" s="28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273"/>
      <c r="S115" s="273"/>
    </row>
    <row r="116" spans="1:19" x14ac:dyDescent="0.25">
      <c r="A116" s="270"/>
      <c r="B116" s="127" t="s">
        <v>965</v>
      </c>
      <c r="C116" s="287">
        <f>C114+J104</f>
        <v>0.16474264068711927</v>
      </c>
      <c r="D116" s="127" t="s">
        <v>81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273"/>
      <c r="S116" s="273"/>
    </row>
    <row r="117" spans="1:19" x14ac:dyDescent="0.25">
      <c r="A117" s="270"/>
      <c r="B117" s="127"/>
      <c r="C117" s="28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273"/>
      <c r="S117" s="273"/>
    </row>
    <row r="118" spans="1:19" x14ac:dyDescent="0.25">
      <c r="A118" s="270"/>
      <c r="B118" s="127"/>
      <c r="C118" s="288" t="s">
        <v>966</v>
      </c>
      <c r="D118" s="234"/>
      <c r="E118" s="234" t="s">
        <v>967</v>
      </c>
      <c r="F118" s="234"/>
      <c r="G118" s="234" t="s">
        <v>955</v>
      </c>
      <c r="H118" s="234"/>
      <c r="I118" s="127"/>
      <c r="J118" s="127"/>
      <c r="K118" s="127"/>
      <c r="L118" s="127"/>
      <c r="M118" s="127"/>
      <c r="N118" s="127"/>
      <c r="O118" s="127"/>
      <c r="P118" s="127"/>
      <c r="Q118" s="127"/>
      <c r="R118" s="273"/>
      <c r="S118" s="273"/>
    </row>
    <row r="119" spans="1:19" x14ac:dyDescent="0.25">
      <c r="A119" s="270"/>
      <c r="B119" s="127" t="s">
        <v>968</v>
      </c>
      <c r="C119" s="288">
        <f>C116</f>
        <v>0.16474264068711927</v>
      </c>
      <c r="D119" s="234" t="s">
        <v>969</v>
      </c>
      <c r="E119" s="234">
        <v>13</v>
      </c>
      <c r="F119" s="234" t="s">
        <v>970</v>
      </c>
      <c r="G119" s="284">
        <f>C119*E119</f>
        <v>2.1416543289325505</v>
      </c>
      <c r="H119" s="234" t="s">
        <v>81</v>
      </c>
      <c r="I119" s="127"/>
      <c r="J119" s="127"/>
      <c r="K119" s="127"/>
      <c r="L119" s="127"/>
      <c r="M119" s="127"/>
      <c r="N119" s="127"/>
      <c r="O119" s="127"/>
      <c r="P119" s="127"/>
      <c r="Q119" s="127"/>
      <c r="R119" s="273"/>
      <c r="S119" s="273"/>
    </row>
    <row r="120" spans="1:19" x14ac:dyDescent="0.25">
      <c r="A120" s="270"/>
      <c r="B120" s="127"/>
      <c r="C120" s="28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273"/>
      <c r="S120" s="273"/>
    </row>
    <row r="121" spans="1:19" ht="25.5" x14ac:dyDescent="0.25">
      <c r="A121" s="270"/>
      <c r="B121" s="225" t="s">
        <v>929</v>
      </c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73"/>
      <c r="S121" s="273"/>
    </row>
    <row r="122" spans="1:19" x14ac:dyDescent="0.25">
      <c r="A122" s="270"/>
      <c r="B122" s="274" t="s">
        <v>942</v>
      </c>
      <c r="C122" s="281">
        <v>0.7</v>
      </c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3"/>
      <c r="S122" s="273"/>
    </row>
    <row r="123" spans="1:19" x14ac:dyDescent="0.25">
      <c r="A123" s="270"/>
      <c r="B123" s="274" t="s">
        <v>943</v>
      </c>
      <c r="C123" s="282" t="s">
        <v>944</v>
      </c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3"/>
      <c r="S123" s="273"/>
    </row>
    <row r="124" spans="1:19" x14ac:dyDescent="0.25">
      <c r="A124" s="270"/>
      <c r="B124" s="274" t="s">
        <v>945</v>
      </c>
      <c r="C124" s="281">
        <v>0.45</v>
      </c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3"/>
      <c r="S124" s="273"/>
    </row>
    <row r="125" spans="1:19" x14ac:dyDescent="0.25">
      <c r="A125" s="270"/>
      <c r="B125" s="274" t="s">
        <v>947</v>
      </c>
      <c r="C125" s="282" t="s">
        <v>948</v>
      </c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3"/>
      <c r="S125" s="273"/>
    </row>
    <row r="126" spans="1:19" x14ac:dyDescent="0.25">
      <c r="A126" s="270"/>
      <c r="B126" s="274" t="s">
        <v>949</v>
      </c>
      <c r="C126" s="281">
        <v>0.2</v>
      </c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3"/>
      <c r="S126" s="273"/>
    </row>
    <row r="127" spans="1:19" x14ac:dyDescent="0.25">
      <c r="A127" s="270"/>
      <c r="B127" s="274" t="s">
        <v>951</v>
      </c>
      <c r="C127" s="282" t="s">
        <v>952</v>
      </c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3"/>
      <c r="S127" s="273"/>
    </row>
    <row r="128" spans="1:19" x14ac:dyDescent="0.25">
      <c r="A128" s="270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273"/>
      <c r="S128" s="273"/>
    </row>
    <row r="129" spans="1:20" x14ac:dyDescent="0.25">
      <c r="A129" s="270"/>
      <c r="B129" s="127"/>
      <c r="C129" s="286" t="s">
        <v>953</v>
      </c>
      <c r="D129" s="127"/>
      <c r="E129" s="286" t="s">
        <v>954</v>
      </c>
      <c r="F129" s="127"/>
      <c r="G129" s="286" t="s">
        <v>945</v>
      </c>
      <c r="H129" s="127"/>
      <c r="I129" s="127"/>
      <c r="J129" s="127" t="s">
        <v>955</v>
      </c>
      <c r="K129" s="127"/>
      <c r="L129" s="127"/>
      <c r="M129" s="127"/>
      <c r="N129" s="127"/>
      <c r="O129" s="127"/>
      <c r="P129" s="127"/>
      <c r="Q129" s="127"/>
      <c r="R129" s="273"/>
      <c r="S129" s="273"/>
    </row>
    <row r="130" spans="1:20" x14ac:dyDescent="0.25">
      <c r="A130" s="270"/>
      <c r="B130" s="127" t="s">
        <v>956</v>
      </c>
      <c r="C130" s="284">
        <f>C122</f>
        <v>0.7</v>
      </c>
      <c r="D130" s="234" t="s">
        <v>957</v>
      </c>
      <c r="E130" s="234" t="str">
        <f>C123</f>
        <v>0,60</v>
      </c>
      <c r="F130" s="234" t="s">
        <v>957</v>
      </c>
      <c r="G130" s="234">
        <f>C124</f>
        <v>0.45</v>
      </c>
      <c r="H130" s="234"/>
      <c r="I130" s="234" t="s">
        <v>958</v>
      </c>
      <c r="J130" s="234">
        <f>C130*E130*G130</f>
        <v>0.189</v>
      </c>
      <c r="K130" s="127" t="s">
        <v>81</v>
      </c>
      <c r="L130" s="127"/>
      <c r="M130" s="127"/>
      <c r="N130" s="127"/>
      <c r="O130" s="127"/>
      <c r="P130" s="127"/>
      <c r="Q130" s="127"/>
      <c r="R130" s="273"/>
      <c r="S130" s="273"/>
    </row>
    <row r="131" spans="1:20" x14ac:dyDescent="0.25">
      <c r="A131" s="270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273"/>
      <c r="S131" s="273"/>
    </row>
    <row r="132" spans="1:20" x14ac:dyDescent="0.25">
      <c r="A132" s="270"/>
      <c r="B132" s="127" t="s">
        <v>959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273"/>
      <c r="S132" s="273"/>
    </row>
    <row r="133" spans="1:20" x14ac:dyDescent="0.25">
      <c r="A133" s="270"/>
      <c r="B133" s="127"/>
      <c r="C133" s="230" t="s">
        <v>960</v>
      </c>
      <c r="D133" s="234"/>
      <c r="E133" s="230" t="s">
        <v>961</v>
      </c>
      <c r="F133" s="234"/>
      <c r="G133" s="234"/>
      <c r="H133" s="234"/>
      <c r="I133" s="127"/>
      <c r="J133" s="127"/>
      <c r="K133" s="127"/>
      <c r="L133" s="127"/>
      <c r="M133" s="127"/>
      <c r="N133" s="127"/>
      <c r="O133" s="127"/>
      <c r="P133" s="127"/>
      <c r="Q133" s="127"/>
      <c r="R133" s="273"/>
      <c r="S133" s="273"/>
    </row>
    <row r="134" spans="1:20" x14ac:dyDescent="0.25">
      <c r="A134" s="270"/>
      <c r="B134" s="127" t="s">
        <v>962</v>
      </c>
      <c r="C134" s="285" t="str">
        <f>C123</f>
        <v>0,60</v>
      </c>
      <c r="D134" s="234" t="s">
        <v>957</v>
      </c>
      <c r="E134" s="285" t="str">
        <f>C123</f>
        <v>0,60</v>
      </c>
      <c r="F134" s="234" t="s">
        <v>958</v>
      </c>
      <c r="G134" s="234">
        <f>C134*E134</f>
        <v>0.36</v>
      </c>
      <c r="H134" s="127" t="s">
        <v>60</v>
      </c>
      <c r="I134" s="127"/>
      <c r="J134" s="127"/>
      <c r="K134" s="127"/>
      <c r="L134" s="127"/>
      <c r="M134" s="127"/>
      <c r="N134" s="127"/>
      <c r="O134" s="127"/>
      <c r="P134" s="127"/>
      <c r="Q134" s="127"/>
      <c r="R134" s="273"/>
      <c r="S134" s="273"/>
      <c r="T134" s="7">
        <f>0.189+0.019</f>
        <v>0.20799999999999999</v>
      </c>
    </row>
    <row r="135" spans="1:20" x14ac:dyDescent="0.25">
      <c r="A135" s="270"/>
      <c r="B135" s="127"/>
      <c r="C135" s="234"/>
      <c r="D135" s="234"/>
      <c r="E135" s="234"/>
      <c r="F135" s="234"/>
      <c r="G135" s="234"/>
      <c r="H135" s="234"/>
      <c r="I135" s="127"/>
      <c r="J135" s="127"/>
      <c r="K135" s="127"/>
      <c r="L135" s="127"/>
      <c r="M135" s="127"/>
      <c r="N135" s="127"/>
      <c r="O135" s="127"/>
      <c r="P135" s="127"/>
      <c r="Q135" s="127"/>
      <c r="R135" s="273"/>
      <c r="S135" s="273"/>
    </row>
    <row r="136" spans="1:20" x14ac:dyDescent="0.25">
      <c r="A136" s="270"/>
      <c r="B136" s="127"/>
      <c r="C136" s="230" t="s">
        <v>963</v>
      </c>
      <c r="D136" s="230"/>
      <c r="E136" s="230" t="s">
        <v>964</v>
      </c>
      <c r="F136" s="230"/>
      <c r="G136" s="230"/>
      <c r="H136" s="234"/>
      <c r="I136" s="127"/>
      <c r="J136" s="127"/>
      <c r="K136" s="127"/>
      <c r="L136" s="127"/>
      <c r="M136" s="127"/>
      <c r="N136" s="127"/>
      <c r="O136" s="127"/>
      <c r="P136" s="127"/>
      <c r="Q136" s="127"/>
      <c r="R136" s="273"/>
      <c r="S136" s="273"/>
    </row>
    <row r="137" spans="1:20" x14ac:dyDescent="0.25">
      <c r="A137" s="270"/>
      <c r="B137" s="127"/>
      <c r="C137" s="285" t="str">
        <f>C125</f>
        <v>0,30</v>
      </c>
      <c r="D137" s="234" t="s">
        <v>957</v>
      </c>
      <c r="E137" s="284">
        <f>C126</f>
        <v>0.2</v>
      </c>
      <c r="F137" s="234" t="s">
        <v>958</v>
      </c>
      <c r="G137" s="284">
        <f>C137*E137</f>
        <v>0.06</v>
      </c>
      <c r="H137" s="234" t="s">
        <v>60</v>
      </c>
      <c r="I137" s="127"/>
      <c r="J137" s="127"/>
      <c r="K137" s="127"/>
      <c r="L137" s="127"/>
      <c r="M137" s="127"/>
      <c r="N137" s="127"/>
      <c r="O137" s="127"/>
      <c r="P137" s="127"/>
      <c r="Q137" s="127"/>
      <c r="R137" s="273"/>
      <c r="S137" s="273"/>
    </row>
    <row r="138" spans="1:20" x14ac:dyDescent="0.25">
      <c r="A138" s="270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273"/>
      <c r="S138" s="273"/>
    </row>
    <row r="139" spans="1:20" ht="21" customHeight="1" x14ac:dyDescent="0.25">
      <c r="A139" s="270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273"/>
      <c r="S139" s="273"/>
    </row>
    <row r="140" spans="1:20" x14ac:dyDescent="0.25">
      <c r="A140" s="270"/>
      <c r="B140" s="127" t="s">
        <v>959</v>
      </c>
      <c r="C140" s="287">
        <f>(C127/3)*(G134+G137+(SQRT(G134*G137)))</f>
        <v>1.8898979485566354E-2</v>
      </c>
      <c r="D140" s="127" t="s">
        <v>81</v>
      </c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273"/>
      <c r="S140" s="273"/>
    </row>
    <row r="141" spans="1:20" x14ac:dyDescent="0.25">
      <c r="A141" s="270"/>
      <c r="B141" s="127"/>
      <c r="C141" s="28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273"/>
      <c r="S141" s="273"/>
    </row>
    <row r="142" spans="1:20" x14ac:dyDescent="0.25">
      <c r="A142" s="270"/>
      <c r="B142" s="127" t="s">
        <v>965</v>
      </c>
      <c r="C142" s="287">
        <f>C140+J130</f>
        <v>0.20789897948556635</v>
      </c>
      <c r="D142" s="127" t="s">
        <v>81</v>
      </c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273"/>
      <c r="S142" s="273"/>
    </row>
    <row r="143" spans="1:20" x14ac:dyDescent="0.25">
      <c r="A143" s="270"/>
      <c r="B143" s="127"/>
      <c r="C143" s="28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273"/>
      <c r="S143" s="273"/>
    </row>
    <row r="144" spans="1:20" x14ac:dyDescent="0.25">
      <c r="A144" s="270"/>
      <c r="B144" s="127"/>
      <c r="C144" s="288" t="s">
        <v>966</v>
      </c>
      <c r="D144" s="234"/>
      <c r="E144" s="234" t="s">
        <v>967</v>
      </c>
      <c r="F144" s="234"/>
      <c r="G144" s="234" t="s">
        <v>955</v>
      </c>
      <c r="H144" s="234"/>
      <c r="I144" s="127"/>
      <c r="J144" s="127"/>
      <c r="K144" s="127"/>
      <c r="L144" s="127"/>
      <c r="M144" s="127"/>
      <c r="N144" s="127"/>
      <c r="O144" s="127"/>
      <c r="P144" s="127"/>
      <c r="Q144" s="127"/>
      <c r="R144" s="273"/>
      <c r="S144" s="273"/>
    </row>
    <row r="145" spans="1:19" x14ac:dyDescent="0.25">
      <c r="A145" s="270"/>
      <c r="B145" s="127" t="s">
        <v>968</v>
      </c>
      <c r="C145" s="288">
        <f>C142</f>
        <v>0.20789897948556635</v>
      </c>
      <c r="D145" s="234" t="s">
        <v>969</v>
      </c>
      <c r="E145" s="234">
        <v>5</v>
      </c>
      <c r="F145" s="234" t="s">
        <v>970</v>
      </c>
      <c r="G145" s="284">
        <f>C145*E145</f>
        <v>1.0394948974278317</v>
      </c>
      <c r="H145" s="234" t="s">
        <v>81</v>
      </c>
      <c r="I145" s="127"/>
      <c r="J145" s="127"/>
      <c r="K145" s="127"/>
      <c r="L145" s="127"/>
      <c r="M145" s="127"/>
      <c r="N145" s="127"/>
      <c r="O145" s="127"/>
      <c r="P145" s="127"/>
      <c r="Q145" s="127"/>
      <c r="R145" s="273"/>
      <c r="S145" s="273"/>
    </row>
    <row r="146" spans="1:19" x14ac:dyDescent="0.25">
      <c r="A146" s="270"/>
      <c r="B146" s="127"/>
      <c r="C146" s="28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273"/>
      <c r="S146" s="273"/>
    </row>
    <row r="147" spans="1:19" ht="25.5" x14ac:dyDescent="0.25">
      <c r="A147" s="270"/>
      <c r="B147" s="225" t="s">
        <v>929</v>
      </c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73"/>
      <c r="S147" s="273"/>
    </row>
    <row r="148" spans="1:19" x14ac:dyDescent="0.25">
      <c r="A148" s="270"/>
      <c r="B148" s="274" t="s">
        <v>942</v>
      </c>
      <c r="C148" s="281">
        <v>0.7</v>
      </c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3"/>
      <c r="S148" s="273"/>
    </row>
    <row r="149" spans="1:19" x14ac:dyDescent="0.25">
      <c r="A149" s="270"/>
      <c r="B149" s="274" t="s">
        <v>943</v>
      </c>
      <c r="C149" s="282" t="s">
        <v>944</v>
      </c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3"/>
      <c r="S149" s="273"/>
    </row>
    <row r="150" spans="1:19" x14ac:dyDescent="0.25">
      <c r="A150" s="270"/>
      <c r="B150" s="274" t="s">
        <v>945</v>
      </c>
      <c r="C150" s="281">
        <v>0.45</v>
      </c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3"/>
      <c r="S150" s="273"/>
    </row>
    <row r="151" spans="1:19" x14ac:dyDescent="0.25">
      <c r="A151" s="270"/>
      <c r="B151" s="274" t="s">
        <v>947</v>
      </c>
      <c r="C151" s="282" t="s">
        <v>948</v>
      </c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3"/>
      <c r="S151" s="273"/>
    </row>
    <row r="152" spans="1:19" x14ac:dyDescent="0.25">
      <c r="A152" s="270"/>
      <c r="B152" s="274" t="s">
        <v>949</v>
      </c>
      <c r="C152" s="281">
        <v>0.15</v>
      </c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3"/>
      <c r="S152" s="273"/>
    </row>
    <row r="153" spans="1:19" x14ac:dyDescent="0.25">
      <c r="A153" s="270"/>
      <c r="B153" s="274" t="s">
        <v>951</v>
      </c>
      <c r="C153" s="282" t="s">
        <v>952</v>
      </c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3"/>
      <c r="S153" s="273"/>
    </row>
    <row r="154" spans="1:19" x14ac:dyDescent="0.25">
      <c r="A154" s="270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273"/>
      <c r="S154" s="273"/>
    </row>
    <row r="155" spans="1:19" x14ac:dyDescent="0.25">
      <c r="A155" s="270"/>
      <c r="B155" s="127"/>
      <c r="C155" s="286" t="s">
        <v>953</v>
      </c>
      <c r="D155" s="127"/>
      <c r="E155" s="286" t="s">
        <v>954</v>
      </c>
      <c r="F155" s="127"/>
      <c r="G155" s="286" t="s">
        <v>945</v>
      </c>
      <c r="H155" s="127"/>
      <c r="I155" s="127"/>
      <c r="J155" s="127" t="s">
        <v>955</v>
      </c>
      <c r="K155" s="127"/>
      <c r="L155" s="127"/>
      <c r="M155" s="127"/>
      <c r="N155" s="127"/>
      <c r="O155" s="127"/>
      <c r="P155" s="127"/>
      <c r="Q155" s="127"/>
      <c r="R155" s="273"/>
      <c r="S155" s="273"/>
    </row>
    <row r="156" spans="1:19" x14ac:dyDescent="0.25">
      <c r="A156" s="270"/>
      <c r="B156" s="127" t="s">
        <v>956</v>
      </c>
      <c r="C156" s="284">
        <f>C148</f>
        <v>0.7</v>
      </c>
      <c r="D156" s="234" t="s">
        <v>957</v>
      </c>
      <c r="E156" s="234" t="str">
        <f>C149</f>
        <v>0,60</v>
      </c>
      <c r="F156" s="234" t="s">
        <v>957</v>
      </c>
      <c r="G156" s="234">
        <f>C150</f>
        <v>0.45</v>
      </c>
      <c r="H156" s="234"/>
      <c r="I156" s="234" t="s">
        <v>958</v>
      </c>
      <c r="J156" s="234">
        <f>C156*E156*G156</f>
        <v>0.189</v>
      </c>
      <c r="K156" s="127" t="s">
        <v>81</v>
      </c>
      <c r="L156" s="127"/>
      <c r="M156" s="127"/>
      <c r="N156" s="127"/>
      <c r="O156" s="127"/>
      <c r="P156" s="127"/>
      <c r="Q156" s="127"/>
      <c r="R156" s="273"/>
      <c r="S156" s="273"/>
    </row>
    <row r="157" spans="1:19" x14ac:dyDescent="0.25">
      <c r="A157" s="270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273"/>
      <c r="S157" s="273"/>
    </row>
    <row r="158" spans="1:19" x14ac:dyDescent="0.25">
      <c r="A158" s="270"/>
      <c r="B158" s="127" t="s">
        <v>959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273"/>
      <c r="S158" s="273"/>
    </row>
    <row r="159" spans="1:19" x14ac:dyDescent="0.25">
      <c r="A159" s="270"/>
      <c r="B159" s="127"/>
      <c r="C159" s="230" t="s">
        <v>960</v>
      </c>
      <c r="D159" s="234"/>
      <c r="E159" s="230" t="s">
        <v>961</v>
      </c>
      <c r="F159" s="234"/>
      <c r="G159" s="234"/>
      <c r="H159" s="234"/>
      <c r="I159" s="127"/>
      <c r="J159" s="127"/>
      <c r="K159" s="127"/>
      <c r="L159" s="127"/>
      <c r="M159" s="127"/>
      <c r="N159" s="127"/>
      <c r="O159" s="127"/>
      <c r="P159" s="127"/>
      <c r="Q159" s="127"/>
      <c r="R159" s="273"/>
      <c r="S159" s="273"/>
    </row>
    <row r="160" spans="1:19" x14ac:dyDescent="0.25">
      <c r="A160" s="270"/>
      <c r="B160" s="127" t="s">
        <v>962</v>
      </c>
      <c r="C160" s="285" t="str">
        <f>C149</f>
        <v>0,60</v>
      </c>
      <c r="D160" s="234" t="s">
        <v>957</v>
      </c>
      <c r="E160" s="285" t="str">
        <f>C149</f>
        <v>0,60</v>
      </c>
      <c r="F160" s="234" t="s">
        <v>958</v>
      </c>
      <c r="G160" s="234">
        <f>C160*E160</f>
        <v>0.36</v>
      </c>
      <c r="H160" s="127" t="s">
        <v>60</v>
      </c>
      <c r="I160" s="127"/>
      <c r="J160" s="127"/>
      <c r="K160" s="127"/>
      <c r="L160" s="127"/>
      <c r="M160" s="127"/>
      <c r="N160" s="127"/>
      <c r="O160" s="127"/>
      <c r="P160" s="127"/>
      <c r="Q160" s="127"/>
      <c r="R160" s="273"/>
      <c r="S160" s="273"/>
    </row>
    <row r="161" spans="1:20" x14ac:dyDescent="0.25">
      <c r="A161" s="270"/>
      <c r="B161" s="127"/>
      <c r="C161" s="234"/>
      <c r="D161" s="234"/>
      <c r="E161" s="234"/>
      <c r="F161" s="234"/>
      <c r="G161" s="234"/>
      <c r="H161" s="234"/>
      <c r="I161" s="127"/>
      <c r="J161" s="127"/>
      <c r="K161" s="127"/>
      <c r="L161" s="127"/>
      <c r="M161" s="127"/>
      <c r="N161" s="127"/>
      <c r="O161" s="127"/>
      <c r="P161" s="127"/>
      <c r="Q161" s="127"/>
      <c r="R161" s="273"/>
      <c r="S161" s="273"/>
    </row>
    <row r="162" spans="1:20" x14ac:dyDescent="0.25">
      <c r="A162" s="270"/>
      <c r="B162" s="127"/>
      <c r="C162" s="230" t="s">
        <v>963</v>
      </c>
      <c r="D162" s="230"/>
      <c r="E162" s="230" t="s">
        <v>964</v>
      </c>
      <c r="F162" s="230"/>
      <c r="G162" s="230"/>
      <c r="H162" s="234"/>
      <c r="I162" s="127"/>
      <c r="J162" s="127"/>
      <c r="K162" s="127"/>
      <c r="L162" s="127"/>
      <c r="M162" s="127"/>
      <c r="N162" s="127"/>
      <c r="O162" s="127"/>
      <c r="P162" s="127"/>
      <c r="Q162" s="127"/>
      <c r="R162" s="273"/>
      <c r="S162" s="273"/>
    </row>
    <row r="163" spans="1:20" x14ac:dyDescent="0.25">
      <c r="A163" s="270"/>
      <c r="B163" s="127"/>
      <c r="C163" s="285" t="str">
        <f>C151</f>
        <v>0,30</v>
      </c>
      <c r="D163" s="234" t="s">
        <v>957</v>
      </c>
      <c r="E163" s="284">
        <f>C152</f>
        <v>0.15</v>
      </c>
      <c r="F163" s="234" t="s">
        <v>958</v>
      </c>
      <c r="G163" s="284">
        <f>C163*E163</f>
        <v>4.4999999999999998E-2</v>
      </c>
      <c r="H163" s="234" t="s">
        <v>60</v>
      </c>
      <c r="I163" s="127"/>
      <c r="J163" s="127"/>
      <c r="K163" s="127"/>
      <c r="L163" s="127"/>
      <c r="M163" s="127"/>
      <c r="N163" s="127"/>
      <c r="O163" s="127"/>
      <c r="P163" s="127"/>
      <c r="Q163" s="127"/>
      <c r="R163" s="273"/>
      <c r="S163" s="273"/>
    </row>
    <row r="164" spans="1:20" x14ac:dyDescent="0.25">
      <c r="A164" s="270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273"/>
      <c r="S164" s="273"/>
    </row>
    <row r="165" spans="1:20" ht="21" customHeight="1" x14ac:dyDescent="0.25">
      <c r="A165" s="270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273"/>
      <c r="S165" s="273"/>
    </row>
    <row r="166" spans="1:20" x14ac:dyDescent="0.25">
      <c r="A166" s="270"/>
      <c r="B166" s="127" t="s">
        <v>959</v>
      </c>
      <c r="C166" s="287">
        <f>(C153/3)*(G160+G163+(SQRT(G160*G163)))</f>
        <v>1.7742640687119282E-2</v>
      </c>
      <c r="D166" s="127" t="s">
        <v>81</v>
      </c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273"/>
      <c r="S166" s="273"/>
    </row>
    <row r="167" spans="1:20" x14ac:dyDescent="0.25">
      <c r="A167" s="270"/>
      <c r="B167" s="127"/>
      <c r="C167" s="28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273"/>
      <c r="S167" s="273"/>
    </row>
    <row r="168" spans="1:20" x14ac:dyDescent="0.25">
      <c r="A168" s="270"/>
      <c r="B168" s="127" t="s">
        <v>965</v>
      </c>
      <c r="C168" s="287">
        <f>C166+J156</f>
        <v>0.20674264068711928</v>
      </c>
      <c r="D168" s="127" t="s">
        <v>81</v>
      </c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273"/>
      <c r="S168" s="273"/>
      <c r="T168" s="7">
        <f>0.189+0.018</f>
        <v>0.20699999999999999</v>
      </c>
    </row>
    <row r="169" spans="1:20" x14ac:dyDescent="0.25">
      <c r="A169" s="270"/>
      <c r="B169" s="127"/>
      <c r="C169" s="28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273"/>
      <c r="S169" s="273"/>
    </row>
    <row r="170" spans="1:20" x14ac:dyDescent="0.25">
      <c r="A170" s="270"/>
      <c r="B170" s="127"/>
      <c r="C170" s="288" t="s">
        <v>966</v>
      </c>
      <c r="D170" s="234"/>
      <c r="E170" s="234" t="s">
        <v>967</v>
      </c>
      <c r="F170" s="234"/>
      <c r="G170" s="234" t="s">
        <v>955</v>
      </c>
      <c r="H170" s="234"/>
      <c r="I170" s="127"/>
      <c r="J170" s="127"/>
      <c r="K170" s="127"/>
      <c r="L170" s="127"/>
      <c r="M170" s="127"/>
      <c r="N170" s="127"/>
      <c r="O170" s="127"/>
      <c r="P170" s="127"/>
      <c r="Q170" s="127"/>
      <c r="R170" s="273"/>
      <c r="S170" s="273"/>
    </row>
    <row r="171" spans="1:20" x14ac:dyDescent="0.25">
      <c r="A171" s="270"/>
      <c r="B171" s="127" t="s">
        <v>968</v>
      </c>
      <c r="C171" s="288">
        <f>C168</f>
        <v>0.20674264068711928</v>
      </c>
      <c r="D171" s="234" t="s">
        <v>969</v>
      </c>
      <c r="E171" s="234">
        <v>2</v>
      </c>
      <c r="F171" s="234" t="s">
        <v>970</v>
      </c>
      <c r="G171" s="284">
        <f>C171*E171</f>
        <v>0.41348528137423857</v>
      </c>
      <c r="H171" s="234" t="s">
        <v>81</v>
      </c>
      <c r="I171" s="127"/>
      <c r="J171" s="127"/>
      <c r="K171" s="127"/>
      <c r="L171" s="127"/>
      <c r="M171" s="127"/>
      <c r="N171" s="127"/>
      <c r="O171" s="127"/>
      <c r="P171" s="127"/>
      <c r="Q171" s="127"/>
      <c r="R171" s="273"/>
      <c r="S171" s="273"/>
    </row>
    <row r="172" spans="1:20" x14ac:dyDescent="0.25">
      <c r="A172" s="270"/>
      <c r="B172" s="127"/>
      <c r="C172" s="28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273"/>
      <c r="S172" s="273"/>
    </row>
    <row r="173" spans="1:20" ht="25.5" x14ac:dyDescent="0.25">
      <c r="A173" s="270"/>
      <c r="B173" s="225" t="s">
        <v>931</v>
      </c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73"/>
      <c r="S173" s="273"/>
    </row>
    <row r="174" spans="1:20" x14ac:dyDescent="0.25">
      <c r="A174" s="270"/>
      <c r="B174" s="274" t="s">
        <v>942</v>
      </c>
      <c r="C174" s="281">
        <v>0.8</v>
      </c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3"/>
      <c r="S174" s="273"/>
    </row>
    <row r="175" spans="1:20" x14ac:dyDescent="0.25">
      <c r="A175" s="270"/>
      <c r="B175" s="274" t="s">
        <v>943</v>
      </c>
      <c r="C175" s="281">
        <v>0.6</v>
      </c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3"/>
      <c r="S175" s="273"/>
    </row>
    <row r="176" spans="1:20" x14ac:dyDescent="0.25">
      <c r="A176" s="270"/>
      <c r="B176" s="274" t="s">
        <v>945</v>
      </c>
      <c r="C176" s="281">
        <v>0.6</v>
      </c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3"/>
      <c r="S176" s="273"/>
    </row>
    <row r="177" spans="1:19" x14ac:dyDescent="0.25">
      <c r="A177" s="270"/>
      <c r="B177" s="274" t="s">
        <v>947</v>
      </c>
      <c r="C177" s="281">
        <v>0.4</v>
      </c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3"/>
      <c r="S177" s="273"/>
    </row>
    <row r="178" spans="1:19" x14ac:dyDescent="0.25">
      <c r="A178" s="270"/>
      <c r="B178" s="274" t="s">
        <v>949</v>
      </c>
      <c r="C178" s="281">
        <v>0.2</v>
      </c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3"/>
      <c r="S178" s="273"/>
    </row>
    <row r="179" spans="1:19" x14ac:dyDescent="0.25">
      <c r="A179" s="270"/>
      <c r="B179" s="274" t="s">
        <v>951</v>
      </c>
      <c r="C179" s="282" t="s">
        <v>952</v>
      </c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3"/>
      <c r="S179" s="273"/>
    </row>
    <row r="180" spans="1:19" x14ac:dyDescent="0.25">
      <c r="A180" s="270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273"/>
      <c r="S180" s="273"/>
    </row>
    <row r="181" spans="1:19" x14ac:dyDescent="0.25">
      <c r="A181" s="270"/>
      <c r="B181" s="127"/>
      <c r="C181" s="286" t="s">
        <v>953</v>
      </c>
      <c r="D181" s="127"/>
      <c r="E181" s="286" t="s">
        <v>954</v>
      </c>
      <c r="F181" s="127"/>
      <c r="G181" s="286" t="s">
        <v>945</v>
      </c>
      <c r="H181" s="127"/>
      <c r="I181" s="127"/>
      <c r="J181" s="127" t="s">
        <v>955</v>
      </c>
      <c r="K181" s="127"/>
      <c r="L181" s="127"/>
      <c r="M181" s="127"/>
      <c r="N181" s="127"/>
      <c r="O181" s="127"/>
      <c r="P181" s="127"/>
      <c r="Q181" s="127"/>
      <c r="R181" s="273"/>
      <c r="S181" s="273"/>
    </row>
    <row r="182" spans="1:19" x14ac:dyDescent="0.25">
      <c r="A182" s="270"/>
      <c r="B182" s="127" t="s">
        <v>956</v>
      </c>
      <c r="C182" s="275">
        <f>C174</f>
        <v>0.8</v>
      </c>
      <c r="D182" s="234" t="s">
        <v>957</v>
      </c>
      <c r="E182" s="275">
        <f>C175</f>
        <v>0.6</v>
      </c>
      <c r="F182" s="234" t="s">
        <v>957</v>
      </c>
      <c r="G182" s="275">
        <f>C176</f>
        <v>0.6</v>
      </c>
      <c r="H182" s="234"/>
      <c r="I182" s="234" t="s">
        <v>958</v>
      </c>
      <c r="J182" s="234">
        <f>C182*E182*G182</f>
        <v>0.28799999999999998</v>
      </c>
      <c r="K182" s="127" t="s">
        <v>81</v>
      </c>
      <c r="L182" s="127"/>
      <c r="M182" s="127"/>
      <c r="N182" s="127"/>
      <c r="O182" s="127"/>
      <c r="P182" s="127"/>
      <c r="Q182" s="127"/>
      <c r="R182" s="273"/>
      <c r="S182" s="273"/>
    </row>
    <row r="183" spans="1:19" x14ac:dyDescent="0.25">
      <c r="A183" s="270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273"/>
      <c r="S183" s="273"/>
    </row>
    <row r="184" spans="1:19" x14ac:dyDescent="0.25">
      <c r="A184" s="270"/>
      <c r="B184" s="127" t="s">
        <v>959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273"/>
      <c r="S184" s="273"/>
    </row>
    <row r="185" spans="1:19" x14ac:dyDescent="0.25">
      <c r="A185" s="270"/>
      <c r="B185" s="127"/>
      <c r="C185" s="230" t="s">
        <v>960</v>
      </c>
      <c r="D185" s="234"/>
      <c r="E185" s="230" t="s">
        <v>961</v>
      </c>
      <c r="F185" s="234"/>
      <c r="G185" s="234"/>
      <c r="H185" s="234"/>
      <c r="I185" s="127"/>
      <c r="J185" s="127"/>
      <c r="K185" s="127"/>
      <c r="L185" s="127"/>
      <c r="M185" s="127"/>
      <c r="N185" s="127"/>
      <c r="O185" s="127"/>
      <c r="P185" s="127"/>
      <c r="Q185" s="127"/>
      <c r="R185" s="273"/>
      <c r="S185" s="273"/>
    </row>
    <row r="186" spans="1:19" x14ac:dyDescent="0.25">
      <c r="A186" s="270"/>
      <c r="B186" s="127" t="s">
        <v>962</v>
      </c>
      <c r="C186" s="284">
        <f>C175</f>
        <v>0.6</v>
      </c>
      <c r="D186" s="234" t="s">
        <v>957</v>
      </c>
      <c r="E186" s="284">
        <f>C175</f>
        <v>0.6</v>
      </c>
      <c r="F186" s="234" t="s">
        <v>958</v>
      </c>
      <c r="G186" s="284">
        <f>C186*E186</f>
        <v>0.36</v>
      </c>
      <c r="H186" s="127" t="s">
        <v>60</v>
      </c>
      <c r="I186" s="127"/>
      <c r="J186" s="127"/>
      <c r="K186" s="127"/>
      <c r="L186" s="127"/>
      <c r="M186" s="127"/>
      <c r="N186" s="127"/>
      <c r="O186" s="127"/>
      <c r="P186" s="127"/>
      <c r="Q186" s="127"/>
      <c r="R186" s="273"/>
      <c r="S186" s="273"/>
    </row>
    <row r="187" spans="1:19" x14ac:dyDescent="0.25">
      <c r="A187" s="270"/>
      <c r="B187" s="127"/>
      <c r="C187" s="234"/>
      <c r="D187" s="234"/>
      <c r="E187" s="234"/>
      <c r="F187" s="234"/>
      <c r="G187" s="234"/>
      <c r="H187" s="234"/>
      <c r="I187" s="127"/>
      <c r="J187" s="127"/>
      <c r="K187" s="127"/>
      <c r="L187" s="127"/>
      <c r="M187" s="127"/>
      <c r="N187" s="127"/>
      <c r="O187" s="127"/>
      <c r="P187" s="127"/>
      <c r="Q187" s="127"/>
      <c r="R187" s="273"/>
      <c r="S187" s="273"/>
    </row>
    <row r="188" spans="1:19" x14ac:dyDescent="0.25">
      <c r="A188" s="270"/>
      <c r="B188" s="127"/>
      <c r="C188" s="230" t="s">
        <v>963</v>
      </c>
      <c r="D188" s="230"/>
      <c r="E188" s="230" t="s">
        <v>964</v>
      </c>
      <c r="F188" s="230"/>
      <c r="G188" s="230"/>
      <c r="H188" s="234"/>
      <c r="I188" s="127"/>
      <c r="J188" s="127"/>
      <c r="K188" s="127"/>
      <c r="L188" s="127"/>
      <c r="M188" s="127"/>
      <c r="N188" s="127"/>
      <c r="O188" s="127"/>
      <c r="P188" s="127"/>
      <c r="Q188" s="127"/>
      <c r="R188" s="273"/>
      <c r="S188" s="273"/>
    </row>
    <row r="189" spans="1:19" x14ac:dyDescent="0.25">
      <c r="A189" s="270"/>
      <c r="B189" s="127"/>
      <c r="C189" s="284">
        <f>C177</f>
        <v>0.4</v>
      </c>
      <c r="D189" s="234" t="s">
        <v>957</v>
      </c>
      <c r="E189" s="284">
        <f>C178</f>
        <v>0.2</v>
      </c>
      <c r="F189" s="234" t="s">
        <v>958</v>
      </c>
      <c r="G189" s="284">
        <f>C189*E189</f>
        <v>8.0000000000000016E-2</v>
      </c>
      <c r="H189" s="234" t="s">
        <v>60</v>
      </c>
      <c r="I189" s="127"/>
      <c r="J189" s="127"/>
      <c r="K189" s="127"/>
      <c r="L189" s="127"/>
      <c r="M189" s="127"/>
      <c r="N189" s="127"/>
      <c r="O189" s="127"/>
      <c r="P189" s="127"/>
      <c r="Q189" s="127"/>
      <c r="R189" s="273"/>
      <c r="S189" s="273"/>
    </row>
    <row r="190" spans="1:19" x14ac:dyDescent="0.25">
      <c r="A190" s="270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273"/>
      <c r="S190" s="273"/>
    </row>
    <row r="191" spans="1:19" ht="21" customHeight="1" x14ac:dyDescent="0.25">
      <c r="A191" s="270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273"/>
      <c r="S191" s="273"/>
    </row>
    <row r="192" spans="1:19" x14ac:dyDescent="0.25">
      <c r="A192" s="270"/>
      <c r="B192" s="127" t="s">
        <v>959</v>
      </c>
      <c r="C192" s="287">
        <f>(C179/3)*(G186+G189+(SQRT(G186*G189)))</f>
        <v>2.0323520916159046E-2</v>
      </c>
      <c r="D192" s="127" t="s">
        <v>81</v>
      </c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273"/>
      <c r="S192" s="273"/>
    </row>
    <row r="193" spans="1:19" x14ac:dyDescent="0.25">
      <c r="A193" s="270"/>
      <c r="B193" s="127"/>
      <c r="C193" s="28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273"/>
      <c r="S193" s="273"/>
    </row>
    <row r="194" spans="1:19" x14ac:dyDescent="0.25">
      <c r="A194" s="270"/>
      <c r="B194" s="127" t="s">
        <v>965</v>
      </c>
      <c r="C194" s="287">
        <f>C192+J182</f>
        <v>0.308323520916159</v>
      </c>
      <c r="D194" s="127" t="s">
        <v>81</v>
      </c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273"/>
      <c r="S194" s="273"/>
    </row>
    <row r="195" spans="1:19" x14ac:dyDescent="0.25">
      <c r="A195" s="270"/>
      <c r="B195" s="127"/>
      <c r="C195" s="28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273"/>
      <c r="S195" s="273"/>
    </row>
    <row r="196" spans="1:19" x14ac:dyDescent="0.25">
      <c r="A196" s="270"/>
      <c r="B196" s="127"/>
      <c r="C196" s="288" t="s">
        <v>966</v>
      </c>
      <c r="D196" s="234"/>
      <c r="E196" s="234" t="s">
        <v>967</v>
      </c>
      <c r="F196" s="234"/>
      <c r="G196" s="234" t="s">
        <v>955</v>
      </c>
      <c r="H196" s="234"/>
      <c r="I196" s="127"/>
      <c r="J196" s="127"/>
      <c r="K196" s="127"/>
      <c r="L196" s="127"/>
      <c r="M196" s="127"/>
      <c r="N196" s="127"/>
      <c r="O196" s="127"/>
      <c r="P196" s="127"/>
      <c r="Q196" s="127"/>
      <c r="R196" s="273"/>
      <c r="S196" s="273"/>
    </row>
    <row r="197" spans="1:19" x14ac:dyDescent="0.25">
      <c r="A197" s="270"/>
      <c r="B197" s="127" t="s">
        <v>968</v>
      </c>
      <c r="C197" s="288">
        <f>C194</f>
        <v>0.308323520916159</v>
      </c>
      <c r="D197" s="234" t="s">
        <v>969</v>
      </c>
      <c r="E197" s="234">
        <v>2</v>
      </c>
      <c r="F197" s="234" t="s">
        <v>970</v>
      </c>
      <c r="G197" s="284">
        <f>C197*E197</f>
        <v>0.616647041832318</v>
      </c>
      <c r="H197" s="234" t="s">
        <v>81</v>
      </c>
      <c r="I197" s="127"/>
      <c r="J197" s="127"/>
      <c r="K197" s="127"/>
      <c r="L197" s="127"/>
      <c r="M197" s="127"/>
      <c r="N197" s="127"/>
      <c r="O197" s="127"/>
      <c r="P197" s="127"/>
      <c r="Q197" s="127"/>
      <c r="R197" s="273"/>
      <c r="S197" s="273"/>
    </row>
    <row r="198" spans="1:19" x14ac:dyDescent="0.25">
      <c r="A198" s="270"/>
      <c r="B198" s="127"/>
      <c r="C198" s="28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273"/>
      <c r="S198" s="273"/>
    </row>
    <row r="199" spans="1:19" x14ac:dyDescent="0.25">
      <c r="A199" s="270"/>
      <c r="B199" s="127"/>
      <c r="C199" s="28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273"/>
      <c r="S199" s="273"/>
    </row>
    <row r="200" spans="1:19" x14ac:dyDescent="0.25">
      <c r="A200" s="270"/>
      <c r="B200" s="295" t="s">
        <v>968</v>
      </c>
      <c r="C200" s="296">
        <f>ROUND((G197+G171+G145+G119+G93),2)</f>
        <v>10.59</v>
      </c>
      <c r="D200" s="296" t="s">
        <v>81</v>
      </c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273"/>
      <c r="S200" s="273"/>
    </row>
    <row r="201" spans="1:19" x14ac:dyDescent="0.25">
      <c r="A201" s="270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73"/>
      <c r="S201" s="273"/>
    </row>
    <row r="202" spans="1:19" ht="12.75" customHeight="1" x14ac:dyDescent="0.25">
      <c r="A202" s="301" t="s">
        <v>580</v>
      </c>
      <c r="B202" s="520" t="s">
        <v>971</v>
      </c>
      <c r="C202" s="520"/>
      <c r="D202" s="520"/>
      <c r="E202" s="520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297">
        <f>R67</f>
        <v>10.59</v>
      </c>
      <c r="S202" s="298" t="s">
        <v>81</v>
      </c>
    </row>
    <row r="203" spans="1:19" x14ac:dyDescent="0.25">
      <c r="A203" s="270"/>
      <c r="B203" s="283" t="s">
        <v>972</v>
      </c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3"/>
      <c r="S203" s="273"/>
    </row>
    <row r="204" spans="1:19" x14ac:dyDescent="0.25">
      <c r="A204" s="270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73"/>
      <c r="S204" s="273"/>
    </row>
    <row r="205" spans="1:19" ht="12.75" customHeight="1" x14ac:dyDescent="0.25">
      <c r="A205" s="302" t="e">
        <f>#REF!</f>
        <v>#REF!</v>
      </c>
      <c r="B205" s="518" t="e">
        <f>#REF!</f>
        <v>#REF!</v>
      </c>
      <c r="C205" s="518"/>
      <c r="D205" s="518"/>
      <c r="E205" s="518"/>
      <c r="F205" s="518"/>
      <c r="G205" s="518"/>
      <c r="H205" s="518"/>
      <c r="I205" s="518"/>
      <c r="J205" s="518"/>
      <c r="K205" s="518"/>
      <c r="L205" s="518"/>
      <c r="M205" s="518"/>
      <c r="N205" s="518"/>
      <c r="O205" s="518"/>
      <c r="P205" s="518"/>
      <c r="Q205" s="518"/>
      <c r="R205" s="272"/>
      <c r="S205" s="272"/>
    </row>
    <row r="206" spans="1:19" ht="12.75" customHeight="1" x14ac:dyDescent="0.25">
      <c r="A206" s="301" t="e">
        <f>#REF!</f>
        <v>#REF!</v>
      </c>
      <c r="B206" s="520" t="e">
        <f>#REF!</f>
        <v>#REF!</v>
      </c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298">
        <f>R207</f>
        <v>62.849999999999987</v>
      </c>
      <c r="S206" s="300" t="s">
        <v>60</v>
      </c>
    </row>
    <row r="207" spans="1:19" x14ac:dyDescent="0.25">
      <c r="B207" s="7" t="s">
        <v>973</v>
      </c>
      <c r="R207" s="275">
        <f>R35</f>
        <v>62.849999999999987</v>
      </c>
      <c r="S207" s="234" t="s">
        <v>60</v>
      </c>
    </row>
  </sheetData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 alignWithMargins="0">
    <oddFooter>&amp;C&amp;P / &amp;N</oddFooter>
  </headerFooter>
  <rowBreaks count="2" manualBreakCount="2">
    <brk id="106" max="65535" man="1"/>
    <brk id="172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PLAN. ORÇAMENTO</vt:lpstr>
      <vt:lpstr>MEMÓRIA MED 9</vt:lpstr>
      <vt:lpstr>RESUMO MEDIÇÃO</vt:lpstr>
      <vt:lpstr>BM 04</vt:lpstr>
      <vt:lpstr>MEMÓRIA DE CÁLCULO</vt:lpstr>
      <vt:lpstr>'BM 04'!Area_de_impressao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04'!Titulos_de_impressao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User</cp:lastModifiedBy>
  <cp:lastPrinted>2022-09-28T14:21:40Z</cp:lastPrinted>
  <dcterms:created xsi:type="dcterms:W3CDTF">2016-07-06T18:05:12Z</dcterms:created>
  <dcterms:modified xsi:type="dcterms:W3CDTF">2025-06-13T14:15:40Z</dcterms:modified>
</cp:coreProperties>
</file>