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firstSheet="3" activeTab="3"/>
  </bookViews>
  <sheets>
    <sheet name="PLAN. ORÇAMENTO" sheetId="1" state="hidden" r:id="rId1"/>
    <sheet name="MEMÓRIA MED 9" sheetId="2" state="hidden" r:id="rId2"/>
    <sheet name="RESUMO MEDIÇÃO" sheetId="3" state="hidden" r:id="rId3"/>
    <sheet name="BM 09" sheetId="5" r:id="rId4"/>
  </sheets>
  <externalReferences>
    <externalReference r:id="rId5"/>
  </externalReferences>
  <definedNames>
    <definedName name="_xlnm._FilterDatabase" localSheetId="0" hidden="1">'PLAN. ORÇAMENTO'!$A$25:$AB$239</definedName>
    <definedName name="_xlnm.Print_Area" localSheetId="3">'BM 09'!$A$1:$M$290</definedName>
    <definedName name="_xlnm.Print_Area" localSheetId="1">'MEMÓRIA MED 9'!$A$1:$D$100</definedName>
    <definedName name="_xlnm.Print_Area" localSheetId="0">'PLAN. ORÇAMENTO'!$A$1:$AB$233</definedName>
    <definedName name="_xlnm.Print_Area" localSheetId="2">'RESUMO MEDIÇÃO'!$A$1:$C$16</definedName>
    <definedName name="_xlnm.Print_Titles" localSheetId="3">'BM 09'!$1:$15</definedName>
    <definedName name="_xlnm.Print_Titles" localSheetId="0">'PLAN. ORÇAMENTO'!$1:$25</definedName>
  </definedNames>
  <calcPr calcId="124519"/>
</workbook>
</file>

<file path=xl/calcChain.xml><?xml version="1.0" encoding="utf-8"?>
<calcChain xmlns="http://schemas.openxmlformats.org/spreadsheetml/2006/main">
  <c r="L279" i="5"/>
  <c r="L278"/>
  <c r="L269"/>
  <c r="L135"/>
  <c r="L134"/>
  <c r="L133"/>
  <c r="L132"/>
  <c r="L127" s="1"/>
  <c r="L131"/>
  <c r="L82"/>
  <c r="L77"/>
  <c r="I88"/>
  <c r="H88"/>
  <c r="L88" s="1"/>
  <c r="I269"/>
  <c r="I95"/>
  <c r="I93"/>
  <c r="I92"/>
  <c r="I83"/>
  <c r="I82"/>
  <c r="I81"/>
  <c r="I80"/>
  <c r="I79"/>
  <c r="I77"/>
  <c r="I76"/>
  <c r="I75"/>
  <c r="M89"/>
  <c r="M279"/>
  <c r="M278"/>
  <c r="M270"/>
  <c r="M129"/>
  <c r="M130"/>
  <c r="M131"/>
  <c r="M132"/>
  <c r="M133"/>
  <c r="M134"/>
  <c r="M135"/>
  <c r="M136"/>
  <c r="M137"/>
  <c r="M138"/>
  <c r="M128"/>
  <c r="M118"/>
  <c r="M119"/>
  <c r="M120"/>
  <c r="M113"/>
  <c r="M114"/>
  <c r="M115"/>
  <c r="M112"/>
  <c r="M75"/>
  <c r="K75"/>
  <c r="L129"/>
  <c r="L130"/>
  <c r="L128"/>
  <c r="L119"/>
  <c r="L120"/>
  <c r="L117"/>
  <c r="L112"/>
  <c r="L270"/>
  <c r="L268" s="1"/>
  <c r="H118"/>
  <c r="L118" s="1"/>
  <c r="H115"/>
  <c r="L115" s="1"/>
  <c r="H114"/>
  <c r="L114" s="1"/>
  <c r="H113"/>
  <c r="L113" s="1"/>
  <c r="H95"/>
  <c r="L95" s="1"/>
  <c r="H93"/>
  <c r="L93" s="1"/>
  <c r="H92"/>
  <c r="L92" s="1"/>
  <c r="H89"/>
  <c r="L89" s="1"/>
  <c r="H83"/>
  <c r="L83" s="1"/>
  <c r="H82"/>
  <c r="H81"/>
  <c r="L81" s="1"/>
  <c r="H80"/>
  <c r="L80" s="1"/>
  <c r="H79"/>
  <c r="L79" s="1"/>
  <c r="H77"/>
  <c r="H76"/>
  <c r="L76" s="1"/>
  <c r="H75"/>
  <c r="L75" s="1"/>
  <c r="K272"/>
  <c r="K240"/>
  <c r="K241"/>
  <c r="K242"/>
  <c r="K243"/>
  <c r="K248"/>
  <c r="K252"/>
  <c r="K239"/>
  <c r="K196"/>
  <c r="K197"/>
  <c r="K195"/>
  <c r="K160"/>
  <c r="K154"/>
  <c r="K155"/>
  <c r="K156"/>
  <c r="K157"/>
  <c r="K153"/>
  <c r="K148"/>
  <c r="K149"/>
  <c r="K150"/>
  <c r="K145"/>
  <c r="K167"/>
  <c r="I108"/>
  <c r="I171"/>
  <c r="I264"/>
  <c r="I263"/>
  <c r="I193"/>
  <c r="I184"/>
  <c r="I183"/>
  <c r="K117"/>
  <c r="L111" l="1"/>
  <c r="L86"/>
  <c r="K266"/>
  <c r="M210"/>
  <c r="M200"/>
  <c r="M194"/>
  <c r="K105"/>
  <c r="K104"/>
  <c r="M215"/>
  <c r="M248"/>
  <c r="M252"/>
  <c r="M240"/>
  <c r="M241"/>
  <c r="M242"/>
  <c r="M243"/>
  <c r="M239"/>
  <c r="L215" l="1"/>
  <c r="M272"/>
  <c r="K181"/>
  <c r="K182"/>
  <c r="K183"/>
  <c r="K184"/>
  <c r="K185"/>
  <c r="K186"/>
  <c r="K187"/>
  <c r="K188"/>
  <c r="K189"/>
  <c r="K190"/>
  <c r="K191"/>
  <c r="K180"/>
  <c r="K193"/>
  <c r="K192"/>
  <c r="K171"/>
  <c r="K170"/>
  <c r="K169"/>
  <c r="K168"/>
  <c r="K166"/>
  <c r="K165"/>
  <c r="K164"/>
  <c r="K162"/>
  <c r="K161"/>
  <c r="K159"/>
  <c r="K158"/>
  <c r="K151"/>
  <c r="K147"/>
  <c r="K146"/>
  <c r="M96"/>
  <c r="M95"/>
  <c r="K140" l="1"/>
  <c r="M27"/>
  <c r="I27"/>
  <c r="M17"/>
  <c r="L17"/>
  <c r="K17"/>
  <c r="M24"/>
  <c r="M31"/>
  <c r="K31"/>
  <c r="K48"/>
  <c r="K52"/>
  <c r="M62"/>
  <c r="M98"/>
  <c r="M111"/>
  <c r="K111"/>
  <c r="K116"/>
  <c r="K119"/>
  <c r="M122"/>
  <c r="L122"/>
  <c r="K122"/>
  <c r="L136"/>
  <c r="K136"/>
  <c r="M127"/>
  <c r="K127"/>
  <c r="K215"/>
  <c r="L210"/>
  <c r="K210"/>
  <c r="L200"/>
  <c r="K200"/>
  <c r="K194"/>
  <c r="K179"/>
  <c r="M255"/>
  <c r="L255"/>
  <c r="K255"/>
  <c r="M285"/>
  <c r="L285"/>
  <c r="K285"/>
  <c r="K281"/>
  <c r="M277"/>
  <c r="L277"/>
  <c r="K277"/>
  <c r="K276"/>
  <c r="F123"/>
  <c r="I67"/>
  <c r="K65"/>
  <c r="K66"/>
  <c r="K67"/>
  <c r="K62" s="1"/>
  <c r="K68"/>
  <c r="K69"/>
  <c r="K70"/>
  <c r="K71"/>
  <c r="K64"/>
  <c r="K89"/>
  <c r="K90"/>
  <c r="K91"/>
  <c r="K92"/>
  <c r="K93"/>
  <c r="K94"/>
  <c r="K95"/>
  <c r="K96"/>
  <c r="K88"/>
  <c r="K76"/>
  <c r="K77"/>
  <c r="K78"/>
  <c r="K79"/>
  <c r="K80"/>
  <c r="K81"/>
  <c r="K82"/>
  <c r="K83"/>
  <c r="K84"/>
  <c r="K73" s="1"/>
  <c r="M84"/>
  <c r="M83"/>
  <c r="M82"/>
  <c r="M81"/>
  <c r="M80"/>
  <c r="M79"/>
  <c r="M78"/>
  <c r="M77"/>
  <c r="M76"/>
  <c r="M94"/>
  <c r="I94"/>
  <c r="M73" l="1"/>
  <c r="K178"/>
  <c r="K86"/>
  <c r="M264"/>
  <c r="M262" s="1"/>
  <c r="M196"/>
  <c r="M197"/>
  <c r="M198"/>
  <c r="M199"/>
  <c r="M195"/>
  <c r="L196"/>
  <c r="L197"/>
  <c r="L198"/>
  <c r="L199"/>
  <c r="L195"/>
  <c r="L194" s="1"/>
  <c r="M193"/>
  <c r="L192"/>
  <c r="L191"/>
  <c r="L190"/>
  <c r="L189"/>
  <c r="L188"/>
  <c r="L187"/>
  <c r="M185"/>
  <c r="L184"/>
  <c r="M183"/>
  <c r="M182"/>
  <c r="L181"/>
  <c r="M180"/>
  <c r="M142"/>
  <c r="M143"/>
  <c r="M144"/>
  <c r="M145"/>
  <c r="M146"/>
  <c r="M147"/>
  <c r="M148"/>
  <c r="M149"/>
  <c r="M150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3"/>
  <c r="M174"/>
  <c r="M175"/>
  <c r="M176"/>
  <c r="M141"/>
  <c r="L193"/>
  <c r="L142"/>
  <c r="L143"/>
  <c r="L144"/>
  <c r="L173"/>
  <c r="L174"/>
  <c r="L175"/>
  <c r="L176"/>
  <c r="L141"/>
  <c r="L68"/>
  <c r="K264"/>
  <c r="M263"/>
  <c r="F62"/>
  <c r="L140" l="1"/>
  <c r="M140"/>
  <c r="M186"/>
  <c r="L186"/>
  <c r="L180"/>
  <c r="M184"/>
  <c r="M192"/>
  <c r="M188"/>
  <c r="M190"/>
  <c r="L183"/>
  <c r="L185"/>
  <c r="M181"/>
  <c r="M187"/>
  <c r="M189"/>
  <c r="M191"/>
  <c r="L182"/>
  <c r="F280"/>
  <c r="F279"/>
  <c r="F262"/>
  <c r="F205"/>
  <c r="F200" s="1"/>
  <c r="F122"/>
  <c r="F113"/>
  <c r="F98"/>
  <c r="F86"/>
  <c r="F73"/>
  <c r="F67"/>
  <c r="F96"/>
  <c r="F95"/>
  <c r="M266"/>
  <c r="M105"/>
  <c r="M104"/>
  <c r="F105"/>
  <c r="F104"/>
  <c r="I101"/>
  <c r="I84"/>
  <c r="L67"/>
  <c r="L62" s="1"/>
  <c r="L179" l="1"/>
  <c r="M179"/>
  <c r="F60"/>
  <c r="M88"/>
  <c r="L178" l="1"/>
  <c r="K101"/>
  <c r="K98" s="1"/>
  <c r="K102"/>
  <c r="K103"/>
  <c r="K100"/>
  <c r="M108"/>
  <c r="M107" s="1"/>
  <c r="I70"/>
  <c r="I66"/>
  <c r="I65"/>
  <c r="I64"/>
  <c r="L108" l="1"/>
  <c r="L107" s="1"/>
  <c r="M93"/>
  <c r="M86" s="1"/>
  <c r="M92"/>
  <c r="M90"/>
  <c r="L84"/>
  <c r="L73" s="1"/>
  <c r="I71"/>
  <c r="M71" s="1"/>
  <c r="M70"/>
  <c r="L71"/>
  <c r="L70"/>
  <c r="M66"/>
  <c r="L66"/>
  <c r="L65"/>
  <c r="M65"/>
  <c r="L64"/>
  <c r="F19"/>
  <c r="M19"/>
  <c r="F20"/>
  <c r="F21"/>
  <c r="M21"/>
  <c r="E22"/>
  <c r="F26"/>
  <c r="F24" s="1"/>
  <c r="G26"/>
  <c r="K26" s="1"/>
  <c r="M26"/>
  <c r="F27"/>
  <c r="K27"/>
  <c r="K24" s="1"/>
  <c r="K29"/>
  <c r="F33"/>
  <c r="K33"/>
  <c r="M33" s="1"/>
  <c r="F34"/>
  <c r="M34"/>
  <c r="F35"/>
  <c r="K35"/>
  <c r="M35" s="1"/>
  <c r="F36"/>
  <c r="K36"/>
  <c r="M36" s="1"/>
  <c r="F37"/>
  <c r="M37"/>
  <c r="F38"/>
  <c r="M38"/>
  <c r="F39"/>
  <c r="M39"/>
  <c r="F40"/>
  <c r="M40"/>
  <c r="F41"/>
  <c r="M41"/>
  <c r="F42"/>
  <c r="M42"/>
  <c r="F43"/>
  <c r="M43"/>
  <c r="F44"/>
  <c r="G44"/>
  <c r="I44" s="1"/>
  <c r="K44"/>
  <c r="M44"/>
  <c r="F45"/>
  <c r="G45"/>
  <c r="I45"/>
  <c r="K45"/>
  <c r="M45" s="1"/>
  <c r="F46"/>
  <c r="K46"/>
  <c r="M46"/>
  <c r="F50"/>
  <c r="F48" s="1"/>
  <c r="I50"/>
  <c r="K50"/>
  <c r="M50"/>
  <c r="M48" s="1"/>
  <c r="F54"/>
  <c r="I54"/>
  <c r="K54"/>
  <c r="M54"/>
  <c r="F55"/>
  <c r="I55"/>
  <c r="K55"/>
  <c r="M55"/>
  <c r="F56"/>
  <c r="I56"/>
  <c r="K56"/>
  <c r="M56"/>
  <c r="F57"/>
  <c r="I57"/>
  <c r="K57"/>
  <c r="M57"/>
  <c r="F58"/>
  <c r="I58"/>
  <c r="K58"/>
  <c r="M58"/>
  <c r="F64"/>
  <c r="M64"/>
  <c r="F65"/>
  <c r="F66"/>
  <c r="M67"/>
  <c r="F68"/>
  <c r="M68"/>
  <c r="F69"/>
  <c r="M69"/>
  <c r="F70"/>
  <c r="F71"/>
  <c r="F75"/>
  <c r="F76"/>
  <c r="F77"/>
  <c r="F78"/>
  <c r="L78"/>
  <c r="I78"/>
  <c r="F79"/>
  <c r="F80"/>
  <c r="F81"/>
  <c r="F82"/>
  <c r="F83"/>
  <c r="F84"/>
  <c r="F88"/>
  <c r="F89"/>
  <c r="F90"/>
  <c r="F91"/>
  <c r="F92"/>
  <c r="F93"/>
  <c r="F94"/>
  <c r="F100"/>
  <c r="L100"/>
  <c r="F101"/>
  <c r="M101"/>
  <c r="L101"/>
  <c r="F102"/>
  <c r="M102"/>
  <c r="L102"/>
  <c r="F103"/>
  <c r="F108"/>
  <c r="F107" s="1"/>
  <c r="K108"/>
  <c r="K107" s="1"/>
  <c r="K110"/>
  <c r="F112"/>
  <c r="F114"/>
  <c r="F115"/>
  <c r="F117"/>
  <c r="F118"/>
  <c r="F120"/>
  <c r="F119" s="1"/>
  <c r="I123"/>
  <c r="M123"/>
  <c r="F124"/>
  <c r="K126"/>
  <c r="L126"/>
  <c r="M126"/>
  <c r="F128"/>
  <c r="F129"/>
  <c r="F130"/>
  <c r="F131"/>
  <c r="F132"/>
  <c r="F133"/>
  <c r="F134"/>
  <c r="F135"/>
  <c r="F137"/>
  <c r="F136" s="1"/>
  <c r="F138"/>
  <c r="F141"/>
  <c r="F140" s="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80"/>
  <c r="F179" s="1"/>
  <c r="F181"/>
  <c r="F182"/>
  <c r="F183"/>
  <c r="F184"/>
  <c r="F185"/>
  <c r="F186"/>
  <c r="F187"/>
  <c r="F188"/>
  <c r="F189"/>
  <c r="F190"/>
  <c r="F191"/>
  <c r="F192"/>
  <c r="F193"/>
  <c r="M178"/>
  <c r="F195"/>
  <c r="F196"/>
  <c r="F197"/>
  <c r="F198"/>
  <c r="F199"/>
  <c r="F201"/>
  <c r="F202"/>
  <c r="F203"/>
  <c r="F204"/>
  <c r="F206"/>
  <c r="F207"/>
  <c r="F208"/>
  <c r="F209"/>
  <c r="F211"/>
  <c r="F210" s="1"/>
  <c r="F212"/>
  <c r="F213"/>
  <c r="F217"/>
  <c r="F215" s="1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E253"/>
  <c r="F253"/>
  <c r="F256"/>
  <c r="F255" s="1"/>
  <c r="F257"/>
  <c r="F258"/>
  <c r="F259"/>
  <c r="F260"/>
  <c r="F263"/>
  <c r="K263"/>
  <c r="K262" s="1"/>
  <c r="F264"/>
  <c r="F265"/>
  <c r="F266"/>
  <c r="F269"/>
  <c r="K269"/>
  <c r="K268" s="1"/>
  <c r="M269"/>
  <c r="M268" s="1"/>
  <c r="F270"/>
  <c r="F268" s="1"/>
  <c r="F272"/>
  <c r="F273"/>
  <c r="F274"/>
  <c r="L276"/>
  <c r="F278"/>
  <c r="F277" s="1"/>
  <c r="F282"/>
  <c r="F281" s="1"/>
  <c r="F283"/>
  <c r="F286"/>
  <c r="F287"/>
  <c r="F288"/>
  <c r="C11" i="2"/>
  <c r="C21"/>
  <c r="C23" s="1"/>
  <c r="C25" s="1"/>
  <c r="C39"/>
  <c r="C41" s="1"/>
  <c r="C29" s="1"/>
  <c r="C55"/>
  <c r="C57" s="1"/>
  <c r="C45" s="1"/>
  <c r="C59"/>
  <c r="C66"/>
  <c r="C76"/>
  <c r="C78" s="1"/>
  <c r="C80"/>
  <c r="C82"/>
  <c r="C92"/>
  <c r="C94" s="1"/>
  <c r="C96" s="1"/>
  <c r="AB26" i="1"/>
  <c r="H28"/>
  <c r="T28"/>
  <c r="U28" s="1"/>
  <c r="V28" s="1"/>
  <c r="V27" s="1"/>
  <c r="X28"/>
  <c r="Y28"/>
  <c r="Z28"/>
  <c r="Z27" s="1"/>
  <c r="AA28"/>
  <c r="AB28"/>
  <c r="AB27" s="1"/>
  <c r="H29"/>
  <c r="T29"/>
  <c r="U29" s="1"/>
  <c r="V29" s="1"/>
  <c r="X29"/>
  <c r="Y29"/>
  <c r="Z29"/>
  <c r="AA29"/>
  <c r="AB29"/>
  <c r="H30"/>
  <c r="T30"/>
  <c r="U30"/>
  <c r="V30"/>
  <c r="X30"/>
  <c r="Y30" s="1"/>
  <c r="Z30"/>
  <c r="AA30"/>
  <c r="AA27" s="1"/>
  <c r="AB30"/>
  <c r="H31"/>
  <c r="T31"/>
  <c r="U31"/>
  <c r="V31" s="1"/>
  <c r="X31"/>
  <c r="Y31"/>
  <c r="Z31"/>
  <c r="AA31"/>
  <c r="AB31"/>
  <c r="H32"/>
  <c r="T32"/>
  <c r="U32" s="1"/>
  <c r="V32" s="1"/>
  <c r="X32"/>
  <c r="Y32"/>
  <c r="Z32"/>
  <c r="AA32"/>
  <c r="AB32"/>
  <c r="H33"/>
  <c r="T33"/>
  <c r="U33" s="1"/>
  <c r="V33" s="1"/>
  <c r="X33"/>
  <c r="Y33"/>
  <c r="Z33"/>
  <c r="AA33"/>
  <c r="AB33"/>
  <c r="T34"/>
  <c r="V34"/>
  <c r="X34"/>
  <c r="Y34"/>
  <c r="Z34"/>
  <c r="AA34"/>
  <c r="AB34"/>
  <c r="H36"/>
  <c r="H35" s="1"/>
  <c r="T36"/>
  <c r="U36"/>
  <c r="V36"/>
  <c r="X36"/>
  <c r="Y36" s="1"/>
  <c r="Z36"/>
  <c r="AA36"/>
  <c r="AB36"/>
  <c r="AB35" s="1"/>
  <c r="H37"/>
  <c r="T37"/>
  <c r="U37"/>
  <c r="W37"/>
  <c r="X37"/>
  <c r="Y37" s="1"/>
  <c r="Z37"/>
  <c r="AA37"/>
  <c r="AB37"/>
  <c r="H38"/>
  <c r="T38"/>
  <c r="U38"/>
  <c r="V38"/>
  <c r="X38"/>
  <c r="Y38" s="1"/>
  <c r="Z38"/>
  <c r="AA38"/>
  <c r="AB38"/>
  <c r="H39"/>
  <c r="T39"/>
  <c r="U39"/>
  <c r="V39" s="1"/>
  <c r="X39"/>
  <c r="Y39"/>
  <c r="Z39"/>
  <c r="AA39"/>
  <c r="AB39"/>
  <c r="H40"/>
  <c r="T40"/>
  <c r="U40" s="1"/>
  <c r="V40" s="1"/>
  <c r="X40"/>
  <c r="Y40"/>
  <c r="Z40"/>
  <c r="AA40"/>
  <c r="AB40"/>
  <c r="T41"/>
  <c r="V41"/>
  <c r="X41"/>
  <c r="Y41"/>
  <c r="Z41"/>
  <c r="AA41"/>
  <c r="AB41"/>
  <c r="H44"/>
  <c r="T44"/>
  <c r="U44"/>
  <c r="V44"/>
  <c r="X44"/>
  <c r="Y44"/>
  <c r="Z44"/>
  <c r="AA44"/>
  <c r="AA43" s="1"/>
  <c r="AA42" s="1"/>
  <c r="AB44"/>
  <c r="H45"/>
  <c r="T45"/>
  <c r="U45"/>
  <c r="V45" s="1"/>
  <c r="X45"/>
  <c r="Y45"/>
  <c r="Z45"/>
  <c r="AA45"/>
  <c r="AB45"/>
  <c r="H46"/>
  <c r="H43" s="1"/>
  <c r="H42" s="1"/>
  <c r="T46"/>
  <c r="U46" s="1"/>
  <c r="V46" s="1"/>
  <c r="X46"/>
  <c r="Y46"/>
  <c r="Z46"/>
  <c r="AA46"/>
  <c r="AB46"/>
  <c r="AB43" s="1"/>
  <c r="T47"/>
  <c r="V47"/>
  <c r="X47"/>
  <c r="Y47"/>
  <c r="Z47"/>
  <c r="AA47"/>
  <c r="AB47"/>
  <c r="H48"/>
  <c r="H49"/>
  <c r="T49"/>
  <c r="U49"/>
  <c r="V49"/>
  <c r="X49"/>
  <c r="Y49" s="1"/>
  <c r="Z49"/>
  <c r="AA49"/>
  <c r="AA48" s="1"/>
  <c r="AB49"/>
  <c r="AB48" s="1"/>
  <c r="H50"/>
  <c r="T50"/>
  <c r="U50"/>
  <c r="V50" s="1"/>
  <c r="X50"/>
  <c r="Y50"/>
  <c r="Z50"/>
  <c r="AA50"/>
  <c r="AB50"/>
  <c r="H51"/>
  <c r="T51"/>
  <c r="U51" s="1"/>
  <c r="V51" s="1"/>
  <c r="X51"/>
  <c r="Y51"/>
  <c r="Z51"/>
  <c r="AA51"/>
  <c r="AB51"/>
  <c r="T52"/>
  <c r="V52"/>
  <c r="X52"/>
  <c r="Y52"/>
  <c r="Z52"/>
  <c r="AA52"/>
  <c r="AB52"/>
  <c r="H54"/>
  <c r="Y54"/>
  <c r="AA54"/>
  <c r="H55"/>
  <c r="T55"/>
  <c r="U55"/>
  <c r="W55"/>
  <c r="X55"/>
  <c r="Y55" s="1"/>
  <c r="Z55"/>
  <c r="AA55"/>
  <c r="AB55"/>
  <c r="H56"/>
  <c r="S56"/>
  <c r="T56"/>
  <c r="U56" s="1"/>
  <c r="W56"/>
  <c r="X56"/>
  <c r="Y56" s="1"/>
  <c r="Z56"/>
  <c r="Z54" s="1"/>
  <c r="AA56"/>
  <c r="AB56"/>
  <c r="AB54" s="1"/>
  <c r="AB53" s="1"/>
  <c r="T57"/>
  <c r="V57"/>
  <c r="X57"/>
  <c r="Y57"/>
  <c r="Z57"/>
  <c r="AA57"/>
  <c r="AB57"/>
  <c r="H58"/>
  <c r="Y58"/>
  <c r="AA58"/>
  <c r="AB58"/>
  <c r="H59"/>
  <c r="I59"/>
  <c r="T59"/>
  <c r="U59"/>
  <c r="V59" s="1"/>
  <c r="V58" s="1"/>
  <c r="W59"/>
  <c r="X59"/>
  <c r="Y59"/>
  <c r="Z59"/>
  <c r="Z58" s="1"/>
  <c r="Z53" s="1"/>
  <c r="AA59"/>
  <c r="AB59"/>
  <c r="H60"/>
  <c r="I60"/>
  <c r="T60"/>
  <c r="U60"/>
  <c r="V60"/>
  <c r="W60"/>
  <c r="X60"/>
  <c r="Y60"/>
  <c r="Z60"/>
  <c r="AA60"/>
  <c r="AB60"/>
  <c r="T61"/>
  <c r="V61"/>
  <c r="X61"/>
  <c r="Y61"/>
  <c r="Z61"/>
  <c r="AA61"/>
  <c r="AB61"/>
  <c r="Z62"/>
  <c r="H63"/>
  <c r="H62" s="1"/>
  <c r="T63"/>
  <c r="U63" s="1"/>
  <c r="V63" s="1"/>
  <c r="V62" s="1"/>
  <c r="W63"/>
  <c r="Y63" s="1"/>
  <c r="X63"/>
  <c r="Z63"/>
  <c r="AA63"/>
  <c r="AA62" s="1"/>
  <c r="AB63"/>
  <c r="AB62" s="1"/>
  <c r="T64"/>
  <c r="V64"/>
  <c r="X64"/>
  <c r="Y64" s="1"/>
  <c r="Z64"/>
  <c r="AA64"/>
  <c r="AB64"/>
  <c r="H66"/>
  <c r="T66"/>
  <c r="U66" s="1"/>
  <c r="W66"/>
  <c r="X66"/>
  <c r="Y66" s="1"/>
  <c r="Z66"/>
  <c r="AA66"/>
  <c r="AB66"/>
  <c r="AB65" s="1"/>
  <c r="H67"/>
  <c r="H65" s="1"/>
  <c r="I67"/>
  <c r="T67"/>
  <c r="U67"/>
  <c r="V67" s="1"/>
  <c r="W67"/>
  <c r="X67"/>
  <c r="Y67"/>
  <c r="Z67"/>
  <c r="AA67"/>
  <c r="AB67"/>
  <c r="F68"/>
  <c r="H68"/>
  <c r="T68"/>
  <c r="U68" s="1"/>
  <c r="V68"/>
  <c r="W68"/>
  <c r="Y68" s="1"/>
  <c r="X68"/>
  <c r="Z68"/>
  <c r="AA68"/>
  <c r="AB68"/>
  <c r="H69"/>
  <c r="T69"/>
  <c r="U69" s="1"/>
  <c r="W69"/>
  <c r="X69"/>
  <c r="Z69"/>
  <c r="AA69"/>
  <c r="AB69"/>
  <c r="H70"/>
  <c r="S70"/>
  <c r="T70" s="1"/>
  <c r="U70" s="1"/>
  <c r="W70"/>
  <c r="X70"/>
  <c r="Z70"/>
  <c r="AB70"/>
  <c r="T71"/>
  <c r="V71"/>
  <c r="X71"/>
  <c r="Y71"/>
  <c r="Z71"/>
  <c r="AA71"/>
  <c r="AB71"/>
  <c r="Y72"/>
  <c r="H73"/>
  <c r="H72" s="1"/>
  <c r="S73"/>
  <c r="W73"/>
  <c r="Z73"/>
  <c r="AA73"/>
  <c r="AC73" s="1"/>
  <c r="AB73"/>
  <c r="AB72" s="1"/>
  <c r="H74"/>
  <c r="S74"/>
  <c r="T74" s="1"/>
  <c r="U74" s="1"/>
  <c r="W74"/>
  <c r="Z74"/>
  <c r="Z72" s="1"/>
  <c r="AA74"/>
  <c r="AB74"/>
  <c r="T75"/>
  <c r="V75"/>
  <c r="X75"/>
  <c r="Y75" s="1"/>
  <c r="Z75"/>
  <c r="AA75"/>
  <c r="AB75"/>
  <c r="Y76"/>
  <c r="H77"/>
  <c r="T77"/>
  <c r="U77"/>
  <c r="F77" s="1"/>
  <c r="W77"/>
  <c r="X77"/>
  <c r="Y77"/>
  <c r="Z77"/>
  <c r="Z76" s="1"/>
  <c r="AA77"/>
  <c r="AB77"/>
  <c r="F78"/>
  <c r="H78"/>
  <c r="T78"/>
  <c r="U78" s="1"/>
  <c r="V78"/>
  <c r="W78"/>
  <c r="Y78" s="1"/>
  <c r="X78"/>
  <c r="Z78"/>
  <c r="AA78"/>
  <c r="AB78"/>
  <c r="H79"/>
  <c r="T79"/>
  <c r="U79" s="1"/>
  <c r="W79"/>
  <c r="X79"/>
  <c r="Z79"/>
  <c r="AA79"/>
  <c r="AB79"/>
  <c r="H80"/>
  <c r="T80"/>
  <c r="U80" s="1"/>
  <c r="W80"/>
  <c r="X80"/>
  <c r="Y80" s="1"/>
  <c r="Z80"/>
  <c r="AA80"/>
  <c r="AB80"/>
  <c r="AB76" s="1"/>
  <c r="T81"/>
  <c r="V81"/>
  <c r="X81"/>
  <c r="Y81"/>
  <c r="Z81"/>
  <c r="AA81"/>
  <c r="AB81"/>
  <c r="H83"/>
  <c r="T83"/>
  <c r="U83" s="1"/>
  <c r="V83" s="1"/>
  <c r="W83"/>
  <c r="Y83" s="1"/>
  <c r="X83"/>
  <c r="Z83"/>
  <c r="Z82" s="1"/>
  <c r="AA83"/>
  <c r="AB83"/>
  <c r="H84"/>
  <c r="T84"/>
  <c r="U84" s="1"/>
  <c r="V84" s="1"/>
  <c r="W84"/>
  <c r="X84"/>
  <c r="Y84"/>
  <c r="Z84"/>
  <c r="AA84"/>
  <c r="AB84"/>
  <c r="AB82" s="1"/>
  <c r="H85"/>
  <c r="H82" s="1"/>
  <c r="T85"/>
  <c r="U85" s="1"/>
  <c r="V85" s="1"/>
  <c r="W85"/>
  <c r="Y85" s="1"/>
  <c r="X85"/>
  <c r="Z85"/>
  <c r="AA85"/>
  <c r="AB85"/>
  <c r="H86"/>
  <c r="T86"/>
  <c r="U86" s="1"/>
  <c r="W86"/>
  <c r="X86"/>
  <c r="Z86"/>
  <c r="AA86"/>
  <c r="AB86"/>
  <c r="H87"/>
  <c r="S87"/>
  <c r="X87" s="1"/>
  <c r="W87"/>
  <c r="Z87"/>
  <c r="AB87"/>
  <c r="T88"/>
  <c r="V88"/>
  <c r="X88"/>
  <c r="Y88" s="1"/>
  <c r="Z88"/>
  <c r="AA88"/>
  <c r="AB88"/>
  <c r="AB89"/>
  <c r="H90"/>
  <c r="T90"/>
  <c r="U90"/>
  <c r="V90"/>
  <c r="W90"/>
  <c r="X90"/>
  <c r="Y90"/>
  <c r="Z90"/>
  <c r="Z89" s="1"/>
  <c r="AA90"/>
  <c r="AB90"/>
  <c r="F91"/>
  <c r="H91"/>
  <c r="H89" s="1"/>
  <c r="T91"/>
  <c r="U91"/>
  <c r="V91"/>
  <c r="W91"/>
  <c r="Y91" s="1"/>
  <c r="X91"/>
  <c r="Z91"/>
  <c r="AA91"/>
  <c r="AA89" s="1"/>
  <c r="AB91"/>
  <c r="H92"/>
  <c r="S92"/>
  <c r="W92"/>
  <c r="Z92"/>
  <c r="AA92"/>
  <c r="AB92"/>
  <c r="H93"/>
  <c r="T93"/>
  <c r="U93" s="1"/>
  <c r="W93"/>
  <c r="X93"/>
  <c r="Z93"/>
  <c r="AA93"/>
  <c r="AB93"/>
  <c r="H94"/>
  <c r="T94"/>
  <c r="U94" s="1"/>
  <c r="W94"/>
  <c r="X94"/>
  <c r="Y94"/>
  <c r="Z94"/>
  <c r="AA94"/>
  <c r="AB94"/>
  <c r="T95"/>
  <c r="V95"/>
  <c r="X95"/>
  <c r="Y95"/>
  <c r="Z95"/>
  <c r="AA95"/>
  <c r="AB95"/>
  <c r="Y96"/>
  <c r="H97"/>
  <c r="H96" s="1"/>
  <c r="S97"/>
  <c r="W97"/>
  <c r="Z97"/>
  <c r="AA97"/>
  <c r="AA96" s="1"/>
  <c r="AC96" s="1"/>
  <c r="AB97"/>
  <c r="H98"/>
  <c r="T98"/>
  <c r="U98" s="1"/>
  <c r="W98"/>
  <c r="Y98" s="1"/>
  <c r="X98"/>
  <c r="Z98"/>
  <c r="AA98"/>
  <c r="AB98"/>
  <c r="AB96" s="1"/>
  <c r="H99"/>
  <c r="T99"/>
  <c r="U99"/>
  <c r="W99"/>
  <c r="X99"/>
  <c r="Y99"/>
  <c r="Z99"/>
  <c r="AA99"/>
  <c r="AB99"/>
  <c r="F100"/>
  <c r="H100"/>
  <c r="T100"/>
  <c r="U100"/>
  <c r="V100"/>
  <c r="W100"/>
  <c r="X100"/>
  <c r="Y100"/>
  <c r="Z100"/>
  <c r="AA100"/>
  <c r="AB100"/>
  <c r="F101"/>
  <c r="H101"/>
  <c r="T101"/>
  <c r="U101"/>
  <c r="V101"/>
  <c r="W101"/>
  <c r="Y101" s="1"/>
  <c r="X101"/>
  <c r="Z101"/>
  <c r="AA101"/>
  <c r="AB101"/>
  <c r="H102"/>
  <c r="T102"/>
  <c r="U102" s="1"/>
  <c r="W102"/>
  <c r="X102"/>
  <c r="Z102"/>
  <c r="AA102"/>
  <c r="AB102"/>
  <c r="H103"/>
  <c r="T103"/>
  <c r="U103" s="1"/>
  <c r="W103"/>
  <c r="X103"/>
  <c r="Y103"/>
  <c r="Z103"/>
  <c r="AA103"/>
  <c r="AB103"/>
  <c r="F104"/>
  <c r="H104"/>
  <c r="T104"/>
  <c r="U104"/>
  <c r="V104"/>
  <c r="W104"/>
  <c r="X104"/>
  <c r="Y104"/>
  <c r="Z104"/>
  <c r="AA104"/>
  <c r="AB104"/>
  <c r="T105"/>
  <c r="V105"/>
  <c r="X105"/>
  <c r="Y105"/>
  <c r="Z105"/>
  <c r="AA105"/>
  <c r="AB105"/>
  <c r="H107"/>
  <c r="T107"/>
  <c r="U107" s="1"/>
  <c r="V107" s="1"/>
  <c r="W107"/>
  <c r="X107"/>
  <c r="Z107"/>
  <c r="AA107"/>
  <c r="AB107"/>
  <c r="H108"/>
  <c r="T108"/>
  <c r="U108"/>
  <c r="V108" s="1"/>
  <c r="W108"/>
  <c r="X108"/>
  <c r="Y108"/>
  <c r="Z108"/>
  <c r="AA108"/>
  <c r="AB108"/>
  <c r="H109"/>
  <c r="T109"/>
  <c r="U109" s="1"/>
  <c r="V109" s="1"/>
  <c r="W109"/>
  <c r="X109"/>
  <c r="Z109"/>
  <c r="AA109"/>
  <c r="AB109"/>
  <c r="H110"/>
  <c r="T110"/>
  <c r="U110"/>
  <c r="V110"/>
  <c r="W110"/>
  <c r="X110"/>
  <c r="Y110"/>
  <c r="Z110"/>
  <c r="Z106" s="1"/>
  <c r="AA110"/>
  <c r="AB110"/>
  <c r="H111"/>
  <c r="T111"/>
  <c r="U111" s="1"/>
  <c r="V111" s="1"/>
  <c r="X111"/>
  <c r="Y111" s="1"/>
  <c r="Z111"/>
  <c r="AA111"/>
  <c r="AB111"/>
  <c r="H112"/>
  <c r="T112"/>
  <c r="U112" s="1"/>
  <c r="V112"/>
  <c r="X112"/>
  <c r="Y112" s="1"/>
  <c r="Z112"/>
  <c r="AA112"/>
  <c r="AB112"/>
  <c r="H113"/>
  <c r="T113"/>
  <c r="U113" s="1"/>
  <c r="W113"/>
  <c r="X113"/>
  <c r="Y113" s="1"/>
  <c r="Z113"/>
  <c r="AA113"/>
  <c r="AB113"/>
  <c r="H114"/>
  <c r="T114"/>
  <c r="U114"/>
  <c r="F114" s="1"/>
  <c r="W114"/>
  <c r="X114"/>
  <c r="Y114"/>
  <c r="Z114"/>
  <c r="AA114"/>
  <c r="AB114"/>
  <c r="F115"/>
  <c r="H115"/>
  <c r="T115"/>
  <c r="U115"/>
  <c r="V115"/>
  <c r="W115"/>
  <c r="Y115" s="1"/>
  <c r="X115"/>
  <c r="Z115"/>
  <c r="AA115"/>
  <c r="AB115"/>
  <c r="H116"/>
  <c r="T116"/>
  <c r="U116"/>
  <c r="V116" s="1"/>
  <c r="W116"/>
  <c r="X116"/>
  <c r="Y116"/>
  <c r="Z116"/>
  <c r="AA116"/>
  <c r="AB116"/>
  <c r="H117"/>
  <c r="T117"/>
  <c r="U117" s="1"/>
  <c r="V117" s="1"/>
  <c r="X117"/>
  <c r="Y117" s="1"/>
  <c r="Z117"/>
  <c r="AA117"/>
  <c r="AB117"/>
  <c r="H118"/>
  <c r="T118"/>
  <c r="U118"/>
  <c r="V118" s="1"/>
  <c r="X118"/>
  <c r="Y118" s="1"/>
  <c r="Z118"/>
  <c r="AA118"/>
  <c r="AB118"/>
  <c r="H119"/>
  <c r="T119"/>
  <c r="U119"/>
  <c r="V119" s="1"/>
  <c r="X119"/>
  <c r="Y119"/>
  <c r="Z119"/>
  <c r="AA119"/>
  <c r="AB119"/>
  <c r="H120"/>
  <c r="T120"/>
  <c r="U120" s="1"/>
  <c r="V120" s="1"/>
  <c r="X120"/>
  <c r="Y120" s="1"/>
  <c r="Z120"/>
  <c r="AA120"/>
  <c r="AB120"/>
  <c r="H121"/>
  <c r="T121"/>
  <c r="U121" s="1"/>
  <c r="V121"/>
  <c r="X121"/>
  <c r="Y121" s="1"/>
  <c r="Z121"/>
  <c r="AA121"/>
  <c r="AB121"/>
  <c r="H122"/>
  <c r="T122"/>
  <c r="U122"/>
  <c r="V122"/>
  <c r="X122"/>
  <c r="Y122"/>
  <c r="Z122"/>
  <c r="AA122"/>
  <c r="AB122"/>
  <c r="H123"/>
  <c r="T123"/>
  <c r="U123"/>
  <c r="V123" s="1"/>
  <c r="X123"/>
  <c r="Y123"/>
  <c r="Z123"/>
  <c r="AA123"/>
  <c r="AB123"/>
  <c r="H124"/>
  <c r="T124"/>
  <c r="U124" s="1"/>
  <c r="V124" s="1"/>
  <c r="X124"/>
  <c r="Y124"/>
  <c r="Z124"/>
  <c r="AA124"/>
  <c r="AB124"/>
  <c r="H125"/>
  <c r="T125"/>
  <c r="U125"/>
  <c r="V125"/>
  <c r="W125"/>
  <c r="Y125" s="1"/>
  <c r="X125"/>
  <c r="Z125"/>
  <c r="AA125"/>
  <c r="AB125"/>
  <c r="H126"/>
  <c r="T126"/>
  <c r="U126"/>
  <c r="V126" s="1"/>
  <c r="W126"/>
  <c r="X126"/>
  <c r="Y126" s="1"/>
  <c r="Z126"/>
  <c r="AA126"/>
  <c r="AB126"/>
  <c r="H127"/>
  <c r="T127"/>
  <c r="U127"/>
  <c r="V127"/>
  <c r="W127"/>
  <c r="Y127" s="1"/>
  <c r="X127"/>
  <c r="Z127"/>
  <c r="AA127"/>
  <c r="AB127"/>
  <c r="H128"/>
  <c r="T128"/>
  <c r="U128" s="1"/>
  <c r="V128" s="1"/>
  <c r="W128"/>
  <c r="X128"/>
  <c r="Y128"/>
  <c r="Z128"/>
  <c r="AA128"/>
  <c r="AB128"/>
  <c r="H129"/>
  <c r="T129"/>
  <c r="U129" s="1"/>
  <c r="V129" s="1"/>
  <c r="W129"/>
  <c r="Y129" s="1"/>
  <c r="X129"/>
  <c r="Z129"/>
  <c r="AA129"/>
  <c r="AB129"/>
  <c r="H130"/>
  <c r="T130"/>
  <c r="U130" s="1"/>
  <c r="V130" s="1"/>
  <c r="W130"/>
  <c r="X130"/>
  <c r="Y130" s="1"/>
  <c r="Z130"/>
  <c r="AA130"/>
  <c r="AB130"/>
  <c r="H131"/>
  <c r="T131"/>
  <c r="U131"/>
  <c r="V131"/>
  <c r="W131"/>
  <c r="Y131" s="1"/>
  <c r="X131"/>
  <c r="Z131"/>
  <c r="AA131"/>
  <c r="AB131"/>
  <c r="H132"/>
  <c r="T132"/>
  <c r="U132"/>
  <c r="V132" s="1"/>
  <c r="X132"/>
  <c r="Y132"/>
  <c r="Z132"/>
  <c r="AA132"/>
  <c r="AB132"/>
  <c r="H133"/>
  <c r="T133"/>
  <c r="U133" s="1"/>
  <c r="V133" s="1"/>
  <c r="X133"/>
  <c r="Y133" s="1"/>
  <c r="Z133"/>
  <c r="AA133"/>
  <c r="AB133"/>
  <c r="H134"/>
  <c r="T134"/>
  <c r="U134"/>
  <c r="V134"/>
  <c r="X134"/>
  <c r="Y134" s="1"/>
  <c r="Z134"/>
  <c r="AA134"/>
  <c r="AB134"/>
  <c r="H135"/>
  <c r="T135"/>
  <c r="U135"/>
  <c r="V135"/>
  <c r="X135"/>
  <c r="Y135"/>
  <c r="Z135"/>
  <c r="AA135"/>
  <c r="AB135"/>
  <c r="H136"/>
  <c r="T136"/>
  <c r="U136"/>
  <c r="V136" s="1"/>
  <c r="X136"/>
  <c r="Y136"/>
  <c r="Z136"/>
  <c r="AA136"/>
  <c r="AB136"/>
  <c r="F137"/>
  <c r="H137"/>
  <c r="T137"/>
  <c r="U137"/>
  <c r="V137"/>
  <c r="W137"/>
  <c r="Y137" s="1"/>
  <c r="X137"/>
  <c r="Z137"/>
  <c r="AA137"/>
  <c r="AB137"/>
  <c r="H138"/>
  <c r="T138"/>
  <c r="U138" s="1"/>
  <c r="W138"/>
  <c r="X138"/>
  <c r="Z138"/>
  <c r="AA138"/>
  <c r="AB138"/>
  <c r="H139"/>
  <c r="T139"/>
  <c r="U139"/>
  <c r="V139" s="1"/>
  <c r="X139"/>
  <c r="Y139"/>
  <c r="Z139"/>
  <c r="AA139"/>
  <c r="AB139"/>
  <c r="H140"/>
  <c r="T140"/>
  <c r="U140" s="1"/>
  <c r="V140" s="1"/>
  <c r="X140"/>
  <c r="Y140"/>
  <c r="Z140"/>
  <c r="AA140"/>
  <c r="AB140"/>
  <c r="H141"/>
  <c r="T141"/>
  <c r="U141" s="1"/>
  <c r="V141" s="1"/>
  <c r="X141"/>
  <c r="Y141"/>
  <c r="Z141"/>
  <c r="AA141"/>
  <c r="AB141"/>
  <c r="H142"/>
  <c r="T142"/>
  <c r="U142"/>
  <c r="V142"/>
  <c r="X142"/>
  <c r="Y142" s="1"/>
  <c r="Z142"/>
  <c r="AA142"/>
  <c r="AB142"/>
  <c r="H143"/>
  <c r="T143"/>
  <c r="U143"/>
  <c r="V143" s="1"/>
  <c r="W143"/>
  <c r="X143"/>
  <c r="Y143"/>
  <c r="Z143"/>
  <c r="AA143"/>
  <c r="AB143"/>
  <c r="H144"/>
  <c r="T144"/>
  <c r="U144" s="1"/>
  <c r="V144" s="1"/>
  <c r="W144"/>
  <c r="X144"/>
  <c r="Z144"/>
  <c r="AA144"/>
  <c r="AB144"/>
  <c r="H145"/>
  <c r="T145"/>
  <c r="U145"/>
  <c r="V145"/>
  <c r="W145"/>
  <c r="X145"/>
  <c r="Y145"/>
  <c r="Z145"/>
  <c r="AA145"/>
  <c r="AB145"/>
  <c r="F146"/>
  <c r="H146"/>
  <c r="T146"/>
  <c r="U146"/>
  <c r="V146"/>
  <c r="W146"/>
  <c r="Y146" s="1"/>
  <c r="X146"/>
  <c r="Z146"/>
  <c r="AA146"/>
  <c r="AB146"/>
  <c r="H147"/>
  <c r="T147"/>
  <c r="U147" s="1"/>
  <c r="W147"/>
  <c r="X147"/>
  <c r="Z147"/>
  <c r="AA147"/>
  <c r="AB147"/>
  <c r="T148"/>
  <c r="V148"/>
  <c r="X148"/>
  <c r="Y148" s="1"/>
  <c r="Z148"/>
  <c r="AA148"/>
  <c r="AB148"/>
  <c r="AB149"/>
  <c r="H150"/>
  <c r="T150"/>
  <c r="U150"/>
  <c r="V150"/>
  <c r="W150"/>
  <c r="X150"/>
  <c r="Y150"/>
  <c r="Z150"/>
  <c r="AA150"/>
  <c r="AB150"/>
  <c r="H151"/>
  <c r="H149" s="1"/>
  <c r="T151"/>
  <c r="U151" s="1"/>
  <c r="V151" s="1"/>
  <c r="W151"/>
  <c r="Y151" s="1"/>
  <c r="X151"/>
  <c r="Z151"/>
  <c r="AA151"/>
  <c r="AA149" s="1"/>
  <c r="AB151"/>
  <c r="H152"/>
  <c r="T152"/>
  <c r="U152"/>
  <c r="V152" s="1"/>
  <c r="W152"/>
  <c r="X152"/>
  <c r="Y152"/>
  <c r="Z152"/>
  <c r="AA152"/>
  <c r="AB152"/>
  <c r="F153"/>
  <c r="H153"/>
  <c r="T153"/>
  <c r="U153" s="1"/>
  <c r="V153"/>
  <c r="W153"/>
  <c r="Y153" s="1"/>
  <c r="X153"/>
  <c r="Z153"/>
  <c r="AA153"/>
  <c r="AB153"/>
  <c r="H154"/>
  <c r="T154"/>
  <c r="U154"/>
  <c r="V154" s="1"/>
  <c r="W154"/>
  <c r="X154"/>
  <c r="Y154" s="1"/>
  <c r="Z154"/>
  <c r="AA154"/>
  <c r="AB154"/>
  <c r="H155"/>
  <c r="T155"/>
  <c r="U155" s="1"/>
  <c r="V155"/>
  <c r="W155"/>
  <c r="Y155" s="1"/>
  <c r="X155"/>
  <c r="Z155"/>
  <c r="AA155"/>
  <c r="AB155"/>
  <c r="H156"/>
  <c r="T156"/>
  <c r="U156"/>
  <c r="V156" s="1"/>
  <c r="W156"/>
  <c r="X156"/>
  <c r="Y156"/>
  <c r="Z156"/>
  <c r="AA156"/>
  <c r="AB156"/>
  <c r="H157"/>
  <c r="T157"/>
  <c r="U157" s="1"/>
  <c r="V157" s="1"/>
  <c r="W157"/>
  <c r="Y157" s="1"/>
  <c r="X157"/>
  <c r="Z157"/>
  <c r="AA157"/>
  <c r="AB157"/>
  <c r="H158"/>
  <c r="T158"/>
  <c r="U158" s="1"/>
  <c r="V158" s="1"/>
  <c r="W158"/>
  <c r="X158"/>
  <c r="Y158"/>
  <c r="Z158"/>
  <c r="AA158"/>
  <c r="AB158"/>
  <c r="F159"/>
  <c r="H159"/>
  <c r="T159"/>
  <c r="U159"/>
  <c r="V159"/>
  <c r="W159"/>
  <c r="X159"/>
  <c r="Y159"/>
  <c r="Z159"/>
  <c r="AA159"/>
  <c r="AB159"/>
  <c r="H160"/>
  <c r="T160"/>
  <c r="U160" s="1"/>
  <c r="V160" s="1"/>
  <c r="W160"/>
  <c r="Y160" s="1"/>
  <c r="X160"/>
  <c r="Z160"/>
  <c r="AA160"/>
  <c r="AB160"/>
  <c r="H161"/>
  <c r="T161"/>
  <c r="U161"/>
  <c r="V161" s="1"/>
  <c r="W161"/>
  <c r="X161"/>
  <c r="Y161"/>
  <c r="Z161"/>
  <c r="AA161"/>
  <c r="AB161"/>
  <c r="H162"/>
  <c r="T162"/>
  <c r="U162" s="1"/>
  <c r="V162" s="1"/>
  <c r="W162"/>
  <c r="X162"/>
  <c r="Z162"/>
  <c r="AA162"/>
  <c r="AB162"/>
  <c r="H163"/>
  <c r="T163"/>
  <c r="U163" s="1"/>
  <c r="W163"/>
  <c r="X163"/>
  <c r="Y163"/>
  <c r="Z163"/>
  <c r="AA163"/>
  <c r="AB163"/>
  <c r="H164"/>
  <c r="T164"/>
  <c r="U164"/>
  <c r="V164"/>
  <c r="W164"/>
  <c r="Y164" s="1"/>
  <c r="X164"/>
  <c r="Z164"/>
  <c r="AA164"/>
  <c r="AB164"/>
  <c r="H165"/>
  <c r="T165"/>
  <c r="U165"/>
  <c r="V165" s="1"/>
  <c r="W165"/>
  <c r="X165"/>
  <c r="Y165" s="1"/>
  <c r="Z165"/>
  <c r="AA165"/>
  <c r="AB165"/>
  <c r="H166"/>
  <c r="T166"/>
  <c r="U166"/>
  <c r="V166"/>
  <c r="W166"/>
  <c r="Y166" s="1"/>
  <c r="X166"/>
  <c r="Z166"/>
  <c r="AA166"/>
  <c r="AB166"/>
  <c r="H167"/>
  <c r="T167"/>
  <c r="U167" s="1"/>
  <c r="V167" s="1"/>
  <c r="W167"/>
  <c r="X167"/>
  <c r="Y167"/>
  <c r="Z167"/>
  <c r="AA167"/>
  <c r="AB167"/>
  <c r="H168"/>
  <c r="T168"/>
  <c r="U168"/>
  <c r="V168"/>
  <c r="W168"/>
  <c r="Y168" s="1"/>
  <c r="X168"/>
  <c r="Z168"/>
  <c r="AA168"/>
  <c r="AB168"/>
  <c r="H169"/>
  <c r="T169"/>
  <c r="U169"/>
  <c r="V169" s="1"/>
  <c r="W169"/>
  <c r="X169"/>
  <c r="Y169" s="1"/>
  <c r="Z169"/>
  <c r="AA169"/>
  <c r="AB169"/>
  <c r="H170"/>
  <c r="T170"/>
  <c r="U170"/>
  <c r="F170" s="1"/>
  <c r="W170"/>
  <c r="X170"/>
  <c r="Y170"/>
  <c r="Z170"/>
  <c r="AA170"/>
  <c r="AB170"/>
  <c r="T171"/>
  <c r="V171"/>
  <c r="X171"/>
  <c r="Y171"/>
  <c r="Z171"/>
  <c r="AA171"/>
  <c r="AB171"/>
  <c r="Y172"/>
  <c r="F173"/>
  <c r="H173"/>
  <c r="T173"/>
  <c r="U173"/>
  <c r="V173"/>
  <c r="W173"/>
  <c r="X173"/>
  <c r="Y173"/>
  <c r="Z173"/>
  <c r="AA173"/>
  <c r="AA172" s="1"/>
  <c r="AB173"/>
  <c r="H174"/>
  <c r="T174"/>
  <c r="U174" s="1"/>
  <c r="V174" s="1"/>
  <c r="W174"/>
  <c r="Y174" s="1"/>
  <c r="X174"/>
  <c r="Z174"/>
  <c r="AA174"/>
  <c r="AB174"/>
  <c r="AB172" s="1"/>
  <c r="H175"/>
  <c r="T175"/>
  <c r="U175"/>
  <c r="V175"/>
  <c r="W175"/>
  <c r="X175"/>
  <c r="Y175"/>
  <c r="Z175"/>
  <c r="AA175"/>
  <c r="AB175"/>
  <c r="H176"/>
  <c r="T176"/>
  <c r="U176" s="1"/>
  <c r="F176" s="1"/>
  <c r="W176"/>
  <c r="Y176" s="1"/>
  <c r="X176"/>
  <c r="Z176"/>
  <c r="AA176"/>
  <c r="AB176"/>
  <c r="H177"/>
  <c r="S177"/>
  <c r="W177"/>
  <c r="Z177"/>
  <c r="AA177"/>
  <c r="AB177"/>
  <c r="T178"/>
  <c r="V178"/>
  <c r="X178"/>
  <c r="Y178" s="1"/>
  <c r="Z178"/>
  <c r="AA178"/>
  <c r="AB178"/>
  <c r="H180"/>
  <c r="T180"/>
  <c r="U180" s="1"/>
  <c r="W180"/>
  <c r="Y180" s="1"/>
  <c r="X180"/>
  <c r="Z180"/>
  <c r="AA180"/>
  <c r="AA179" s="1"/>
  <c r="AB180"/>
  <c r="H181"/>
  <c r="T181"/>
  <c r="U181"/>
  <c r="W181"/>
  <c r="X181"/>
  <c r="Y181"/>
  <c r="Z181"/>
  <c r="AA181"/>
  <c r="AB181"/>
  <c r="F182"/>
  <c r="H182"/>
  <c r="T182"/>
  <c r="U182"/>
  <c r="V182"/>
  <c r="W182"/>
  <c r="X182"/>
  <c r="Y182"/>
  <c r="Z182"/>
  <c r="AA182"/>
  <c r="AB182"/>
  <c r="F183"/>
  <c r="H183"/>
  <c r="T183"/>
  <c r="U183"/>
  <c r="V183"/>
  <c r="W183"/>
  <c r="Y183" s="1"/>
  <c r="X183"/>
  <c r="Z183"/>
  <c r="Z179" s="1"/>
  <c r="AA183"/>
  <c r="AB183"/>
  <c r="H184"/>
  <c r="T184"/>
  <c r="U184" s="1"/>
  <c r="W184"/>
  <c r="X184"/>
  <c r="Z184"/>
  <c r="AA184"/>
  <c r="AB184"/>
  <c r="H185"/>
  <c r="T185"/>
  <c r="U185"/>
  <c r="V185" s="1"/>
  <c r="W185"/>
  <c r="X185"/>
  <c r="Y185"/>
  <c r="Z185"/>
  <c r="AA185"/>
  <c r="AB185"/>
  <c r="H186"/>
  <c r="S186"/>
  <c r="T186" s="1"/>
  <c r="U186"/>
  <c r="F186" s="1"/>
  <c r="W186"/>
  <c r="Z186"/>
  <c r="AA186"/>
  <c r="AB186"/>
  <c r="H187"/>
  <c r="S187"/>
  <c r="T187" s="1"/>
  <c r="U187" s="1"/>
  <c r="W187"/>
  <c r="X187"/>
  <c r="Y187"/>
  <c r="Z187"/>
  <c r="AA187"/>
  <c r="AB187"/>
  <c r="F188"/>
  <c r="H188"/>
  <c r="T188"/>
  <c r="U188"/>
  <c r="V188"/>
  <c r="W188"/>
  <c r="Y188" s="1"/>
  <c r="X188"/>
  <c r="Z188"/>
  <c r="AA188"/>
  <c r="AB188"/>
  <c r="H189"/>
  <c r="T189"/>
  <c r="U189" s="1"/>
  <c r="W189"/>
  <c r="X189"/>
  <c r="Z189"/>
  <c r="AA189"/>
  <c r="AB189"/>
  <c r="H190"/>
  <c r="T190"/>
  <c r="U190" s="1"/>
  <c r="W190"/>
  <c r="X190"/>
  <c r="Y190"/>
  <c r="Z190"/>
  <c r="AA190"/>
  <c r="AB190"/>
  <c r="F191"/>
  <c r="H191"/>
  <c r="T191"/>
  <c r="U191"/>
  <c r="V191"/>
  <c r="W191"/>
  <c r="X191"/>
  <c r="Y191"/>
  <c r="Z191"/>
  <c r="AA191"/>
  <c r="AB191"/>
  <c r="F192"/>
  <c r="H192"/>
  <c r="T192"/>
  <c r="U192"/>
  <c r="V192"/>
  <c r="W192"/>
  <c r="Y192" s="1"/>
  <c r="X192"/>
  <c r="Z192"/>
  <c r="AA192"/>
  <c r="AB192"/>
  <c r="H193"/>
  <c r="T193"/>
  <c r="U193" s="1"/>
  <c r="W193"/>
  <c r="X193"/>
  <c r="Z193"/>
  <c r="AA193"/>
  <c r="AB193"/>
  <c r="H194"/>
  <c r="T194"/>
  <c r="U194" s="1"/>
  <c r="W194"/>
  <c r="X194"/>
  <c r="Y194" s="1"/>
  <c r="Z194"/>
  <c r="AA194"/>
  <c r="AB194"/>
  <c r="H195"/>
  <c r="T195"/>
  <c r="U195"/>
  <c r="F195" s="1"/>
  <c r="W195"/>
  <c r="X195"/>
  <c r="Y195"/>
  <c r="Z195"/>
  <c r="AA195"/>
  <c r="AB195"/>
  <c r="F196"/>
  <c r="H196"/>
  <c r="T196"/>
  <c r="U196"/>
  <c r="V196"/>
  <c r="W196"/>
  <c r="Y196" s="1"/>
  <c r="X196"/>
  <c r="Z196"/>
  <c r="AA196"/>
  <c r="AB196"/>
  <c r="H197"/>
  <c r="T197"/>
  <c r="U197" s="1"/>
  <c r="W197"/>
  <c r="Y197" s="1"/>
  <c r="X197"/>
  <c r="Z197"/>
  <c r="AA197"/>
  <c r="AB197"/>
  <c r="H198"/>
  <c r="T198"/>
  <c r="U198"/>
  <c r="W198"/>
  <c r="X198"/>
  <c r="Y198" s="1"/>
  <c r="Z198"/>
  <c r="AA198"/>
  <c r="AB198"/>
  <c r="H199"/>
  <c r="T199"/>
  <c r="U199"/>
  <c r="F199" s="1"/>
  <c r="W199"/>
  <c r="X199"/>
  <c r="Y199"/>
  <c r="Z199"/>
  <c r="AA199"/>
  <c r="AB199"/>
  <c r="F200"/>
  <c r="H200"/>
  <c r="T200"/>
  <c r="U200"/>
  <c r="V200"/>
  <c r="W200"/>
  <c r="Y200" s="1"/>
  <c r="X200"/>
  <c r="Z200"/>
  <c r="AA200"/>
  <c r="AB200"/>
  <c r="H201"/>
  <c r="T201"/>
  <c r="U201" s="1"/>
  <c r="V201" s="1"/>
  <c r="W201"/>
  <c r="X201"/>
  <c r="Y201"/>
  <c r="Z201"/>
  <c r="AA201"/>
  <c r="AB201"/>
  <c r="H202"/>
  <c r="T202"/>
  <c r="U202"/>
  <c r="V202"/>
  <c r="W202"/>
  <c r="Y202" s="1"/>
  <c r="X202"/>
  <c r="Z202"/>
  <c r="AA202"/>
  <c r="AB202"/>
  <c r="H203"/>
  <c r="T203"/>
  <c r="U203"/>
  <c r="V203" s="1"/>
  <c r="W203"/>
  <c r="X203"/>
  <c r="Y203" s="1"/>
  <c r="Z203"/>
  <c r="AA203"/>
  <c r="AB203"/>
  <c r="H204"/>
  <c r="T204"/>
  <c r="U204"/>
  <c r="V204"/>
  <c r="W204"/>
  <c r="Y204" s="1"/>
  <c r="X204"/>
  <c r="Z204"/>
  <c r="AA204"/>
  <c r="AB204"/>
  <c r="H205"/>
  <c r="T205"/>
  <c r="U205" s="1"/>
  <c r="V205" s="1"/>
  <c r="W205"/>
  <c r="X205"/>
  <c r="Y205"/>
  <c r="Z205"/>
  <c r="AA205"/>
  <c r="AB205"/>
  <c r="H206"/>
  <c r="T206"/>
  <c r="U206"/>
  <c r="V206"/>
  <c r="W206"/>
  <c r="Y206" s="1"/>
  <c r="X206"/>
  <c r="Z206"/>
  <c r="AA206"/>
  <c r="AB206"/>
  <c r="H207"/>
  <c r="T207"/>
  <c r="U207" s="1"/>
  <c r="W207"/>
  <c r="X207"/>
  <c r="Z207"/>
  <c r="AA207"/>
  <c r="AB207"/>
  <c r="H208"/>
  <c r="T208"/>
  <c r="U208" s="1"/>
  <c r="W208"/>
  <c r="X208"/>
  <c r="Y208" s="1"/>
  <c r="Z208"/>
  <c r="AA208"/>
  <c r="AB208"/>
  <c r="H209"/>
  <c r="T209"/>
  <c r="U209"/>
  <c r="F209" s="1"/>
  <c r="W209"/>
  <c r="X209"/>
  <c r="Y209"/>
  <c r="Z209"/>
  <c r="AA209"/>
  <c r="AB209"/>
  <c r="T210"/>
  <c r="V210"/>
  <c r="X210"/>
  <c r="Y210"/>
  <c r="Z210"/>
  <c r="AA210"/>
  <c r="AB210"/>
  <c r="Y211"/>
  <c r="H212"/>
  <c r="T212"/>
  <c r="U212"/>
  <c r="F212" s="1"/>
  <c r="W212"/>
  <c r="X212"/>
  <c r="Y212"/>
  <c r="Z212"/>
  <c r="AA212"/>
  <c r="AB212"/>
  <c r="F213"/>
  <c r="H213"/>
  <c r="T213"/>
  <c r="U213"/>
  <c r="V213"/>
  <c r="W213"/>
  <c r="Y213" s="1"/>
  <c r="X213"/>
  <c r="Z213"/>
  <c r="AA213"/>
  <c r="AB213"/>
  <c r="H214"/>
  <c r="T214"/>
  <c r="U214" s="1"/>
  <c r="W214"/>
  <c r="Y214" s="1"/>
  <c r="X214"/>
  <c r="Z214"/>
  <c r="AA214"/>
  <c r="AB214"/>
  <c r="AB211" s="1"/>
  <c r="H215"/>
  <c r="T215"/>
  <c r="U215"/>
  <c r="W215"/>
  <c r="X215"/>
  <c r="Y215"/>
  <c r="Z215"/>
  <c r="AA215"/>
  <c r="AB215"/>
  <c r="F216"/>
  <c r="H216"/>
  <c r="T216"/>
  <c r="U216"/>
  <c r="V216"/>
  <c r="W216"/>
  <c r="X216"/>
  <c r="Y216"/>
  <c r="Z216"/>
  <c r="AA216"/>
  <c r="AB216"/>
  <c r="F217"/>
  <c r="H217"/>
  <c r="T217"/>
  <c r="U217"/>
  <c r="V217"/>
  <c r="W217"/>
  <c r="Y217" s="1"/>
  <c r="X217"/>
  <c r="Z217"/>
  <c r="AA217"/>
  <c r="AB217"/>
  <c r="T218"/>
  <c r="V218"/>
  <c r="X218"/>
  <c r="Y218" s="1"/>
  <c r="Z218"/>
  <c r="AA218"/>
  <c r="AB218"/>
  <c r="H220"/>
  <c r="T220"/>
  <c r="U220" s="1"/>
  <c r="W220"/>
  <c r="X220"/>
  <c r="Z220"/>
  <c r="AA220"/>
  <c r="AA219" s="1"/>
  <c r="AB220"/>
  <c r="H221"/>
  <c r="T221"/>
  <c r="U221" s="1"/>
  <c r="W221"/>
  <c r="X221"/>
  <c r="Y221"/>
  <c r="Z221"/>
  <c r="AA221"/>
  <c r="AB221"/>
  <c r="F222"/>
  <c r="H222"/>
  <c r="T222"/>
  <c r="U222"/>
  <c r="V222"/>
  <c r="W222"/>
  <c r="X222"/>
  <c r="Y222"/>
  <c r="Z222"/>
  <c r="Z219" s="1"/>
  <c r="AA222"/>
  <c r="AB222"/>
  <c r="H223"/>
  <c r="T223"/>
  <c r="U223" s="1"/>
  <c r="V223" s="1"/>
  <c r="W223"/>
  <c r="Y223" s="1"/>
  <c r="X223"/>
  <c r="Z223"/>
  <c r="AA223"/>
  <c r="AB223"/>
  <c r="H224"/>
  <c r="T224"/>
  <c r="U224"/>
  <c r="W224"/>
  <c r="X224"/>
  <c r="Y224"/>
  <c r="Z224"/>
  <c r="AA224"/>
  <c r="AB224"/>
  <c r="F225"/>
  <c r="H225"/>
  <c r="T225"/>
  <c r="U225"/>
  <c r="V225"/>
  <c r="W225"/>
  <c r="X225"/>
  <c r="Y225"/>
  <c r="Z225"/>
  <c r="AA225"/>
  <c r="AB225"/>
  <c r="F226"/>
  <c r="H226"/>
  <c r="T226"/>
  <c r="U226"/>
  <c r="V226"/>
  <c r="W226"/>
  <c r="Y226" s="1"/>
  <c r="X226"/>
  <c r="Z226"/>
  <c r="AA226"/>
  <c r="AB226"/>
  <c r="H227"/>
  <c r="T227"/>
  <c r="U227" s="1"/>
  <c r="W227"/>
  <c r="X227"/>
  <c r="Z227"/>
  <c r="AA227"/>
  <c r="AB227"/>
  <c r="H228"/>
  <c r="T228"/>
  <c r="U228" s="1"/>
  <c r="W228"/>
  <c r="X228"/>
  <c r="Y228"/>
  <c r="Z228"/>
  <c r="AA228"/>
  <c r="AB228"/>
  <c r="F229"/>
  <c r="H229"/>
  <c r="T229"/>
  <c r="U229"/>
  <c r="V229"/>
  <c r="W229"/>
  <c r="X229"/>
  <c r="Y229"/>
  <c r="Z229"/>
  <c r="AA229"/>
  <c r="AB229"/>
  <c r="F230"/>
  <c r="H230"/>
  <c r="T230"/>
  <c r="U230"/>
  <c r="V230"/>
  <c r="W230"/>
  <c r="Y230" s="1"/>
  <c r="X230"/>
  <c r="Z230"/>
  <c r="AA230"/>
  <c r="AB230"/>
  <c r="H231"/>
  <c r="T231"/>
  <c r="U231" s="1"/>
  <c r="W231"/>
  <c r="X231"/>
  <c r="Z231"/>
  <c r="AA231"/>
  <c r="AB231"/>
  <c r="T232"/>
  <c r="AA232"/>
  <c r="AA234"/>
  <c r="AA235"/>
  <c r="AA236"/>
  <c r="AA237"/>
  <c r="AA238"/>
  <c r="AA239"/>
  <c r="T240"/>
  <c r="AA240"/>
  <c r="T241"/>
  <c r="AA241"/>
  <c r="T242"/>
  <c r="AA242"/>
  <c r="P244"/>
  <c r="Q245" s="1"/>
  <c r="T245" s="1"/>
  <c r="AA244"/>
  <c r="T246"/>
  <c r="AA246"/>
  <c r="T247"/>
  <c r="AA247"/>
  <c r="T248"/>
  <c r="AA248"/>
  <c r="T249"/>
  <c r="AA249"/>
  <c r="T250"/>
  <c r="AA250"/>
  <c r="T251"/>
  <c r="AA251"/>
  <c r="T252"/>
  <c r="AA252"/>
  <c r="T253"/>
  <c r="AA253"/>
  <c r="T254"/>
  <c r="AA254"/>
  <c r="T255"/>
  <c r="AA255"/>
  <c r="T256"/>
  <c r="AA256"/>
  <c r="T257"/>
  <c r="AA257"/>
  <c r="T258"/>
  <c r="AA258"/>
  <c r="T259"/>
  <c r="AA259"/>
  <c r="T260"/>
  <c r="AA260"/>
  <c r="T261"/>
  <c r="AA261"/>
  <c r="T262"/>
  <c r="AA262"/>
  <c r="T263"/>
  <c r="AA263"/>
  <c r="T264"/>
  <c r="AA264"/>
  <c r="T265"/>
  <c r="AA265"/>
  <c r="T266"/>
  <c r="AA266"/>
  <c r="T267"/>
  <c r="AA267"/>
  <c r="T268"/>
  <c r="AA268"/>
  <c r="T269"/>
  <c r="AA269"/>
  <c r="T270"/>
  <c r="AA270"/>
  <c r="T271"/>
  <c r="AA271"/>
  <c r="T272"/>
  <c r="AA272"/>
  <c r="T273"/>
  <c r="AA273"/>
  <c r="T274"/>
  <c r="AA274"/>
  <c r="T275"/>
  <c r="AA275"/>
  <c r="T276"/>
  <c r="AA276"/>
  <c r="T277"/>
  <c r="AA277"/>
  <c r="T278"/>
  <c r="AA278"/>
  <c r="T279"/>
  <c r="AA279"/>
  <c r="T280"/>
  <c r="AA280"/>
  <c r="T281"/>
  <c r="AA281"/>
  <c r="T282"/>
  <c r="AA282"/>
  <c r="T283"/>
  <c r="AA283"/>
  <c r="T284"/>
  <c r="AA284"/>
  <c r="T285"/>
  <c r="AA285"/>
  <c r="T286"/>
  <c r="AA286"/>
  <c r="T287"/>
  <c r="AA287"/>
  <c r="T288"/>
  <c r="AA288"/>
  <c r="T289"/>
  <c r="AA289"/>
  <c r="T290"/>
  <c r="AA290"/>
  <c r="T291"/>
  <c r="AA291"/>
  <c r="T292"/>
  <c r="AA292"/>
  <c r="T293"/>
  <c r="AA293"/>
  <c r="T294"/>
  <c r="AA294"/>
  <c r="T295"/>
  <c r="AA295"/>
  <c r="T296"/>
  <c r="AA296"/>
  <c r="T297"/>
  <c r="AA297"/>
  <c r="T298"/>
  <c r="AA298"/>
  <c r="T299"/>
  <c r="AA299"/>
  <c r="T300"/>
  <c r="AA300"/>
  <c r="T301"/>
  <c r="AA301"/>
  <c r="T302"/>
  <c r="AA302"/>
  <c r="T303"/>
  <c r="AA303"/>
  <c r="T304"/>
  <c r="AA304"/>
  <c r="T305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L60" i="5" l="1"/>
  <c r="M60"/>
  <c r="M52"/>
  <c r="M29" s="1"/>
  <c r="F116"/>
  <c r="F110" s="1"/>
  <c r="F111"/>
  <c r="F52"/>
  <c r="F228" i="1"/>
  <c r="V228"/>
  <c r="F208"/>
  <c r="V208"/>
  <c r="F221"/>
  <c r="V221"/>
  <c r="F187"/>
  <c r="V187"/>
  <c r="F94"/>
  <c r="V94"/>
  <c r="F80"/>
  <c r="V80"/>
  <c r="F194"/>
  <c r="V194"/>
  <c r="F190"/>
  <c r="V190"/>
  <c r="F163"/>
  <c r="V163"/>
  <c r="F66"/>
  <c r="V66"/>
  <c r="V56"/>
  <c r="F56"/>
  <c r="AA26"/>
  <c r="Z26"/>
  <c r="V35"/>
  <c r="AA65"/>
  <c r="V48"/>
  <c r="AB42"/>
  <c r="F113"/>
  <c r="V113"/>
  <c r="V106" s="1"/>
  <c r="F103"/>
  <c r="V103"/>
  <c r="F74"/>
  <c r="V74"/>
  <c r="V70"/>
  <c r="F70"/>
  <c r="F276" i="5"/>
  <c r="F224" i="1"/>
  <c r="V224"/>
  <c r="F215"/>
  <c r="V215"/>
  <c r="F214"/>
  <c r="V214"/>
  <c r="F180"/>
  <c r="V180"/>
  <c r="T73"/>
  <c r="U73" s="1"/>
  <c r="X73"/>
  <c r="L103" i="5"/>
  <c r="M103"/>
  <c r="F227" i="1"/>
  <c r="V227"/>
  <c r="T177"/>
  <c r="U177" s="1"/>
  <c r="X177"/>
  <c r="Y177" s="1"/>
  <c r="F138"/>
  <c r="V138"/>
  <c r="F102"/>
  <c r="V102"/>
  <c r="F231"/>
  <c r="V231"/>
  <c r="F207"/>
  <c r="V207"/>
  <c r="F193"/>
  <c r="V193"/>
  <c r="T92"/>
  <c r="U92" s="1"/>
  <c r="X92"/>
  <c r="Y92" s="1"/>
  <c r="F79"/>
  <c r="V79"/>
  <c r="F69"/>
  <c r="V69"/>
  <c r="F22" i="5"/>
  <c r="K22"/>
  <c r="Z149" i="1"/>
  <c r="H106"/>
  <c r="Z96"/>
  <c r="H53"/>
  <c r="H27"/>
  <c r="T244"/>
  <c r="V209"/>
  <c r="V195"/>
  <c r="V186"/>
  <c r="AB179"/>
  <c r="V114"/>
  <c r="T87"/>
  <c r="U87" s="1"/>
  <c r="V77"/>
  <c r="V76" s="1"/>
  <c r="C43" i="2"/>
  <c r="F17" i="5"/>
  <c r="P243" i="1"/>
  <c r="Y227"/>
  <c r="AB219"/>
  <c r="Y220"/>
  <c r="Z211"/>
  <c r="V212"/>
  <c r="V211" s="1"/>
  <c r="V199"/>
  <c r="Y189"/>
  <c r="Y184"/>
  <c r="V176"/>
  <c r="V170"/>
  <c r="V149" s="1"/>
  <c r="Y162"/>
  <c r="Y147"/>
  <c r="Y138"/>
  <c r="AB106"/>
  <c r="AB233" s="1"/>
  <c r="Y107"/>
  <c r="Y102"/>
  <c r="Y93"/>
  <c r="Y87"/>
  <c r="Y86"/>
  <c r="AA76"/>
  <c r="H76"/>
  <c r="Y73"/>
  <c r="AA72"/>
  <c r="AA70"/>
  <c r="Z65"/>
  <c r="Z43"/>
  <c r="Z42" s="1"/>
  <c r="Z35"/>
  <c r="F285" i="5"/>
  <c r="F194"/>
  <c r="F178" s="1"/>
  <c r="F127"/>
  <c r="F126" s="1"/>
  <c r="F31"/>
  <c r="F181" i="1"/>
  <c r="V181"/>
  <c r="F99"/>
  <c r="V99"/>
  <c r="F98"/>
  <c r="V98"/>
  <c r="F220"/>
  <c r="V220"/>
  <c r="F189"/>
  <c r="V189"/>
  <c r="F184"/>
  <c r="V184"/>
  <c r="F147"/>
  <c r="V147"/>
  <c r="T97"/>
  <c r="U97" s="1"/>
  <c r="X97"/>
  <c r="F93"/>
  <c r="V93"/>
  <c r="F86"/>
  <c r="V86"/>
  <c r="F198"/>
  <c r="V198"/>
  <c r="F197"/>
  <c r="V197"/>
  <c r="F55"/>
  <c r="V55"/>
  <c r="V54" s="1"/>
  <c r="V53" s="1"/>
  <c r="F37"/>
  <c r="V37"/>
  <c r="AA245"/>
  <c r="H219"/>
  <c r="H172"/>
  <c r="AA106"/>
  <c r="AA87"/>
  <c r="AA82" s="1"/>
  <c r="Y231"/>
  <c r="AA211"/>
  <c r="H211"/>
  <c r="Y207"/>
  <c r="Y193"/>
  <c r="H179"/>
  <c r="Z172"/>
  <c r="Y144"/>
  <c r="Y109"/>
  <c r="Y97"/>
  <c r="Y79"/>
  <c r="Y70"/>
  <c r="Y69"/>
  <c r="AA53"/>
  <c r="Z48"/>
  <c r="V43"/>
  <c r="V42" s="1"/>
  <c r="AA35"/>
  <c r="M276" i="5"/>
  <c r="M100"/>
  <c r="X186" i="1"/>
  <c r="Y186" s="1"/>
  <c r="X74"/>
  <c r="Y74" s="1"/>
  <c r="F29" i="5" l="1"/>
  <c r="K60"/>
  <c r="V172" i="1"/>
  <c r="Y233"/>
  <c r="AA233"/>
  <c r="H233"/>
  <c r="F92"/>
  <c r="V92"/>
  <c r="V89" s="1"/>
  <c r="F177"/>
  <c r="V177"/>
  <c r="F97"/>
  <c r="V97"/>
  <c r="V96" s="1"/>
  <c r="V87"/>
  <c r="V82" s="1"/>
  <c r="F87"/>
  <c r="F73"/>
  <c r="V73"/>
  <c r="V72" s="1"/>
  <c r="T243"/>
  <c r="Q243"/>
  <c r="AA243" s="1"/>
  <c r="M22" i="5"/>
  <c r="V179" i="1"/>
  <c r="V65"/>
  <c r="V219"/>
  <c r="AC42"/>
  <c r="Z233"/>
  <c r="W233" s="1"/>
  <c r="L12" i="5" l="1"/>
  <c r="V233" i="1"/>
  <c r="X233"/>
  <c r="AA22"/>
  <c r="AA8"/>
  <c r="B7" i="3"/>
  <c r="B9" s="1"/>
  <c r="B8"/>
  <c r="B10" s="1"/>
  <c r="B15" l="1"/>
  <c r="B11"/>
  <c r="B16" s="1"/>
  <c r="M117" i="5" l="1"/>
  <c r="L116" l="1"/>
  <c r="L110" s="1"/>
  <c r="M116"/>
  <c r="M110" s="1"/>
  <c r="M151"/>
  <c r="L290" l="1"/>
  <c r="L13" s="1"/>
  <c r="M290"/>
</calcChain>
</file>

<file path=xl/sharedStrings.xml><?xml version="1.0" encoding="utf-8"?>
<sst xmlns="http://schemas.openxmlformats.org/spreadsheetml/2006/main" count="1587" uniqueCount="923">
  <si>
    <t>BOLETIM DE MEDIÇÃO</t>
  </si>
  <si>
    <t>Contratante</t>
  </si>
  <si>
    <t>BM - número</t>
  </si>
  <si>
    <t>BM - Data emissão</t>
  </si>
  <si>
    <t xml:space="preserve">BM - Período de referência </t>
  </si>
  <si>
    <t>Data do CT</t>
  </si>
  <si>
    <t>PREFEITURA MUNICIPAL DE ITAPOROROCA</t>
  </si>
  <si>
    <t>20/12/2017 a 31/01/2018</t>
  </si>
  <si>
    <t>Empresa Contratada</t>
  </si>
  <si>
    <t>CNPJ</t>
  </si>
  <si>
    <t>Início da obra - data</t>
  </si>
  <si>
    <t xml:space="preserve">Previsão Término </t>
  </si>
  <si>
    <t xml:space="preserve">Termo de Compromisso </t>
  </si>
  <si>
    <t>CLARICE MARIA LIMA FORTES</t>
  </si>
  <si>
    <t>18.228.092/0001-27</t>
  </si>
  <si>
    <t>9731/2014 PAC 2</t>
  </si>
  <si>
    <t xml:space="preserve">Objeto </t>
  </si>
  <si>
    <t>Local da obra ( Bairro / Município / UF)</t>
  </si>
  <si>
    <t>Valor do Contrato (R$)</t>
  </si>
  <si>
    <t>CONCLUSÃO DAS OBRAS DE UMA QUADRA COBERTA COM VESTUÁRIO, COM RECURSOS DO PAC 2 - FNDE.</t>
  </si>
  <si>
    <t>RUA FREI DAMIÃO BOZZANO, 07 - CENTRO - ITAPOROROCA - PB.</t>
  </si>
  <si>
    <t>Valor Medido no Período</t>
  </si>
  <si>
    <t>Obra: CONSTRUÇÃO DE QUADRA COBERTA COM VESTIÁRIO (25,80x38m)</t>
  </si>
  <si>
    <t>Município: Itapororoca</t>
  </si>
  <si>
    <t>Endereço: Conjunto Urbano</t>
  </si>
  <si>
    <t xml:space="preserve">Planilha Orçamentária </t>
  </si>
  <si>
    <t>BDI</t>
  </si>
  <si>
    <t>Item</t>
  </si>
  <si>
    <t>Discriminação dos serviços do Orçamento</t>
  </si>
  <si>
    <t>Previsto no Orçamento</t>
  </si>
  <si>
    <t>Executado Físico (%)</t>
  </si>
  <si>
    <t>Executado Financeiro (R$)</t>
  </si>
  <si>
    <t>Unid</t>
  </si>
  <si>
    <t>Qtdes</t>
  </si>
  <si>
    <t>Preço Unitário</t>
  </si>
  <si>
    <t>Saldo de Quantidades</t>
  </si>
  <si>
    <t>custo inicial</t>
  </si>
  <si>
    <t>Preço Total</t>
  </si>
  <si>
    <t>Fonte</t>
  </si>
  <si>
    <t>Quantidade Medida no período 1</t>
  </si>
  <si>
    <t>Quantidade Medida no período 2</t>
  </si>
  <si>
    <t>Quantidade Medida no período 3</t>
  </si>
  <si>
    <t>Quantidade Medida no período 4</t>
  </si>
  <si>
    <t>Quantidade Medida no período 5</t>
  </si>
  <si>
    <t>Quantidade Medida no período 6</t>
  </si>
  <si>
    <t>Quantidade Medida no período 7</t>
  </si>
  <si>
    <t>Quantidade Medida no período 8</t>
  </si>
  <si>
    <t>Quantidade Medida no período 9</t>
  </si>
  <si>
    <t>Quantidade Medida no período 10</t>
  </si>
  <si>
    <t>quant. Acumulada</t>
  </si>
  <si>
    <t>Quant. saldo</t>
  </si>
  <si>
    <t>Total (R$)</t>
  </si>
  <si>
    <t>Acum até o
período anterior</t>
  </si>
  <si>
    <t>Medido no período</t>
  </si>
  <si>
    <t>Acumulado inclusive o período</t>
  </si>
  <si>
    <t>Acumulado até o período anterior</t>
  </si>
  <si>
    <t>Acum inclusive
o período</t>
  </si>
  <si>
    <t>SERVIÇOS PRELIMINARES</t>
  </si>
  <si>
    <t>1.1</t>
  </si>
  <si>
    <t>Abrigo provisório c/ pavimento para alojamento e depósito</t>
  </si>
  <si>
    <t>m²</t>
  </si>
  <si>
    <t>SINAPI 04/16</t>
  </si>
  <si>
    <t>1.2</t>
  </si>
  <si>
    <t>Placa da obra - padrão governo federal</t>
  </si>
  <si>
    <t>74209/001</t>
  </si>
  <si>
    <t>1.3</t>
  </si>
  <si>
    <t>Locação da obra - execução de gabarito</t>
  </si>
  <si>
    <t>74077/003</t>
  </si>
  <si>
    <t>1.4</t>
  </si>
  <si>
    <t>Instalações provisórias de esgoto</t>
  </si>
  <si>
    <t>un</t>
  </si>
  <si>
    <t>C2849</t>
  </si>
  <si>
    <t>1.5</t>
  </si>
  <si>
    <t>Instalações provisórias de energia</t>
  </si>
  <si>
    <t>73960/001</t>
  </si>
  <si>
    <t>1.6</t>
  </si>
  <si>
    <t>Instalações provisórias de água</t>
  </si>
  <si>
    <t>C2851</t>
  </si>
  <si>
    <t>MOVIMENTO DE TERRA</t>
  </si>
  <si>
    <t>2.1</t>
  </si>
  <si>
    <t>Escavação manual solo de 1a.cat. prof. até 1.50m</t>
  </si>
  <si>
    <t>m³</t>
  </si>
  <si>
    <t>73965/010</t>
  </si>
  <si>
    <t>2.2</t>
  </si>
  <si>
    <t>Aterro c/ compactação manual s/ controle, mat. c/ aquisição</t>
  </si>
  <si>
    <t>COMPOSIÇÃO</t>
  </si>
  <si>
    <t>2.3</t>
  </si>
  <si>
    <t>Reaterro c/ compactação manual s/ controle, material da vala</t>
  </si>
  <si>
    <t>73964/006</t>
  </si>
  <si>
    <t>2.4</t>
  </si>
  <si>
    <t>Carga manual de entulho em caminhão basculante</t>
  </si>
  <si>
    <t>2.5</t>
  </si>
  <si>
    <t>Transporte de material, exceto rocha em caminhão até 10km</t>
  </si>
  <si>
    <t>C2530</t>
  </si>
  <si>
    <t>INFRAESTRUTURA</t>
  </si>
  <si>
    <t>3.1</t>
  </si>
  <si>
    <t>SAPATAS</t>
  </si>
  <si>
    <t>3.1.1</t>
  </si>
  <si>
    <t>Lastro de concreto magro traço 1:4:8, espessura 5 cm, preparo mecânico</t>
  </si>
  <si>
    <t>73907/006</t>
  </si>
  <si>
    <t>3.1.2</t>
  </si>
  <si>
    <t>Forma plana chapa compensada plastificada, esp.= 12mm util. 5x</t>
  </si>
  <si>
    <t>11262/ORSE</t>
  </si>
  <si>
    <t>3.1.3</t>
  </si>
  <si>
    <t>Concreto armado fck 25 MPa, usinado, inclusive lançamento</t>
  </si>
  <si>
    <t>07396/ORSE</t>
  </si>
  <si>
    <t>3.2</t>
  </si>
  <si>
    <t>VIGAS BALDRAMES</t>
  </si>
  <si>
    <t>3.2.1</t>
  </si>
  <si>
    <t>3.2.2</t>
  </si>
  <si>
    <t>3.2.3</t>
  </si>
  <si>
    <t>Impermeabilização com tinta betuminosa em fundações</t>
  </si>
  <si>
    <t>74106/001</t>
  </si>
  <si>
    <t>SUPERESTRUTURA</t>
  </si>
  <si>
    <t>4.1</t>
  </si>
  <si>
    <t>PILARES</t>
  </si>
  <si>
    <t>4.1.1</t>
  </si>
  <si>
    <t>11644/ORSE</t>
  </si>
  <si>
    <t>4.1.2</t>
  </si>
  <si>
    <t>95956/SINAPI</t>
  </si>
  <si>
    <t>4.2</t>
  </si>
  <si>
    <t>VIGAS</t>
  </si>
  <si>
    <t>4.2.1</t>
  </si>
  <si>
    <t>4.2.2</t>
  </si>
  <si>
    <t>4.3</t>
  </si>
  <si>
    <t>LAJE PREMOLDADA</t>
  </si>
  <si>
    <t>4.3.1</t>
  </si>
  <si>
    <t>Laje premoldada para forro (e=12cm), inclusive capeamento (e=4cm) e escoramento</t>
  </si>
  <si>
    <t>742021/SINAPI</t>
  </si>
  <si>
    <t>PAREDES E PAINÉIS</t>
  </si>
  <si>
    <t>5.1</t>
  </si>
  <si>
    <t>Alvenaria de tijolo cerâmico (9x19x24)cm, e= 0,09m, com argamassa (traço 1:2:8 - cimento/cal/areia), junta de 2,0cm</t>
  </si>
  <si>
    <t>00152/ORSE</t>
  </si>
  <si>
    <t>5.2</t>
  </si>
  <si>
    <t>Alvenaria de tijolo cerâmico (9x19x24)cm, e= 0,19m, com argamassa (traço 1:2:8 - cimento/cal/areia), junta de 2,0cm</t>
  </si>
  <si>
    <t>5.3</t>
  </si>
  <si>
    <t>Alvenaria de tijolo cerâmico maciço (4x9x17), esp = 0,04m, com argamassa (traço 1:2:8 - cimento/cal/areia), junta de 2,0cm</t>
  </si>
  <si>
    <t>00154/ORSE</t>
  </si>
  <si>
    <t>5.4</t>
  </si>
  <si>
    <t>Elemento vazado de concreto (40x40x7cm) assentados com argamassa (cimento e areia traço 1:3)</t>
  </si>
  <si>
    <t>739371/SINAPI</t>
  </si>
  <si>
    <t>5.5</t>
  </si>
  <si>
    <t>Elemento vazado de concreto (50x50x10cm) anti-chuva assentados com argamassa (imento e areia traço 1:3)</t>
  </si>
  <si>
    <t>739373/SINAPI</t>
  </si>
  <si>
    <t>COBERTURA</t>
  </si>
  <si>
    <t>6.1</t>
  </si>
  <si>
    <t>Estrutura de aço em arco vão de 30m</t>
  </si>
  <si>
    <t>6.2</t>
  </si>
  <si>
    <t>Telha metálica em chapa galvanizada e=0.5mm</t>
  </si>
  <si>
    <t>ESQUADRIAS</t>
  </si>
  <si>
    <t>7.1</t>
  </si>
  <si>
    <t>Porta de madeira (1,00x2,10 m) com bandeira (1,00x0,80 m) - inclusive ferragens, conforme projeto de esquadrias</t>
  </si>
  <si>
    <t>und</t>
  </si>
  <si>
    <t>90844/SINAPI</t>
  </si>
  <si>
    <t>7.2</t>
  </si>
  <si>
    <t>Porta de madeira (0,90x2,10 m) - inclusive ferragens, conforme projeto de esquadrias</t>
  </si>
  <si>
    <t>91332/SINAPi</t>
  </si>
  <si>
    <t>7.3</t>
  </si>
  <si>
    <t xml:space="preserve">Porta de madeira - Banheiros e Sanitários (0,60 m) completa inclusive targeta metálica </t>
  </si>
  <si>
    <t>91328/SINAP</t>
  </si>
  <si>
    <t>7.4</t>
  </si>
  <si>
    <t xml:space="preserve">Porta de madeira - Banheiros e Sanitários (0,80 m)  completa inclusive targeta metálica - WC PNE </t>
  </si>
  <si>
    <t>91333/SINAP</t>
  </si>
  <si>
    <t>REVESTIMENTOS</t>
  </si>
  <si>
    <t>8.1</t>
  </si>
  <si>
    <t>Chapisco c/ argamassa de cimento e areia s/ peneirar traço 1:3 esp.= 5mm p/ parede</t>
  </si>
  <si>
    <t>87893/SINAPI</t>
  </si>
  <si>
    <t>8.2</t>
  </si>
  <si>
    <t>Emboço c/ argamassa de cimento e areia s/ peneirar, traço 1:7</t>
  </si>
  <si>
    <t>89173/SINAPI</t>
  </si>
  <si>
    <t>8.3</t>
  </si>
  <si>
    <t>Reboco c/argamassa pré-fabricada, adesivo de alta resistência p/tinta epóxi esp= 5mm p/parede</t>
  </si>
  <si>
    <t>03315/ORSE</t>
  </si>
  <si>
    <t>8.4</t>
  </si>
  <si>
    <t>Revestimento cerâmico de paredes PEI IV - cerâmica 20 x 20 cm - incl. rejunte - conforme projeto</t>
  </si>
  <si>
    <t>89045/SINAPI</t>
  </si>
  <si>
    <t>8.5</t>
  </si>
  <si>
    <t>Revestimento cerâmico de paredes PEI IV - cerâmica 10 x 10 cm - incl. rejunte - conforme projeto</t>
  </si>
  <si>
    <t>11366/ORSE</t>
  </si>
  <si>
    <t>PISOS</t>
  </si>
  <si>
    <t>9.1</t>
  </si>
  <si>
    <t>Lastro de brita graduada apiloada (esp.=6 cm)</t>
  </si>
  <si>
    <t>09962/ORSE</t>
  </si>
  <si>
    <t>9.2</t>
  </si>
  <si>
    <t>Piso em concreto armado com tela e juntas de dilatação (esp.=10cm)</t>
  </si>
  <si>
    <t>9.3</t>
  </si>
  <si>
    <t>Piso em concreto simples desempolado (esp.=5cm), inclusive contrapiso</t>
  </si>
  <si>
    <t>9.4</t>
  </si>
  <si>
    <t>Junta de retração, serrada com disco diamantado, para pavimentos em placa de concreto, profund.= 5cm, inclusive preenchimento com mastique</t>
  </si>
  <si>
    <t>m</t>
  </si>
  <si>
    <t>07681/ORSE</t>
  </si>
  <si>
    <t>9.5</t>
  </si>
  <si>
    <t xml:space="preserve">Piso cerâmico esmaltado PEI V - 33 x 33 cm - incl. rejunte - conforme projeto </t>
  </si>
  <si>
    <t>10169/ORSE</t>
  </si>
  <si>
    <t>PINTURA</t>
  </si>
  <si>
    <t>10.1</t>
  </si>
  <si>
    <t>Aplicação de selador acrílico</t>
  </si>
  <si>
    <t>88483/SINAPI</t>
  </si>
  <si>
    <t>10.2</t>
  </si>
  <si>
    <t>Demarcação de quadra com tinta acrílica</t>
  </si>
  <si>
    <t>41595/SINAPI</t>
  </si>
  <si>
    <t>10.3</t>
  </si>
  <si>
    <t>Emassamento de superfície, com aplicação de 02 demãos de massa acrílica</t>
  </si>
  <si>
    <t>08624/ORSE</t>
  </si>
  <si>
    <t>10.4</t>
  </si>
  <si>
    <t>Esmalte sintético em estrutura de aço carbono 50 micra com revólver</t>
  </si>
  <si>
    <t>07695/ORSE</t>
  </si>
  <si>
    <t>10.5</t>
  </si>
  <si>
    <t>Pintura c/ primer epoxi em estrutura de aço carbono 25 micra com revólver</t>
  </si>
  <si>
    <t>02339/ORSE</t>
  </si>
  <si>
    <t>10.6</t>
  </si>
  <si>
    <t>Pintura de acabamento com aplicação de 02 demaõs de tinta acrílica</t>
  </si>
  <si>
    <t>10.7</t>
  </si>
  <si>
    <t>Pintura de piso com tinta à base de resina epóxi</t>
  </si>
  <si>
    <t>72815/SINAPI</t>
  </si>
  <si>
    <t>10.8</t>
  </si>
  <si>
    <t>Pintura em tinta PVA latex (02 demãos), inclusive emassamento</t>
  </si>
  <si>
    <t>02291/ORSE</t>
  </si>
  <si>
    <t>INSTALAÇÕES HIDRÁULICAS</t>
  </si>
  <si>
    <t>11.1</t>
  </si>
  <si>
    <t>Adaptador soldável curto c/ bolsa-rosca para registro 20 mm - 1/2"</t>
  </si>
  <si>
    <t>11.2</t>
  </si>
  <si>
    <t>Adaptador soldável curto c/ bolsa-rosca para registro 25 mm - 3/4"</t>
  </si>
  <si>
    <t>11.3</t>
  </si>
  <si>
    <t>Adaptador soldável curto c/ bolsa-rosca para registro 32 mm - 1"</t>
  </si>
  <si>
    <t>11.4</t>
  </si>
  <si>
    <t>Adaptador soldável curto c/ bolsa-rosca para registro 50 mm -1.1/2"</t>
  </si>
  <si>
    <t>11.5</t>
  </si>
  <si>
    <t>Bucha de redução soldável curta 50 mm - 40 mm</t>
  </si>
  <si>
    <t>01074/ORSE</t>
  </si>
  <si>
    <t>11.6</t>
  </si>
  <si>
    <t>Bucha de redução soldável longa 40 mm - 25 mm</t>
  </si>
  <si>
    <t>01081/ORSE</t>
  </si>
  <si>
    <t>11.7</t>
  </si>
  <si>
    <t>Caixa d´água em fibra de vidro - cap. 3.000 litros</t>
  </si>
  <si>
    <t>01430/ORSE</t>
  </si>
  <si>
    <t>11.8</t>
  </si>
  <si>
    <t>Engate flexível plástico</t>
  </si>
  <si>
    <t>86884/SINAPI</t>
  </si>
  <si>
    <t>11.9</t>
  </si>
  <si>
    <t>Flange para caixa dágua 25 mm</t>
  </si>
  <si>
    <t>09963/ORSE</t>
  </si>
  <si>
    <t>11.10</t>
  </si>
  <si>
    <t>Flange para caixa dágua 50 mm</t>
  </si>
  <si>
    <t>11.11</t>
  </si>
  <si>
    <t>Joelho 90º soldável 25 mm</t>
  </si>
  <si>
    <t>11.12</t>
  </si>
  <si>
    <t>Joelho 90º soldável 32 mm</t>
  </si>
  <si>
    <t>11.13</t>
  </si>
  <si>
    <t>Joelho 90º soldável 50 mm</t>
  </si>
  <si>
    <t>11.14</t>
  </si>
  <si>
    <t>Joelho 90º soldável com bucha de latão - 20 mm - 1/2"</t>
  </si>
  <si>
    <t>04964/ORSE</t>
  </si>
  <si>
    <t>11.15</t>
  </si>
  <si>
    <t>Joelho de redução 90º soldável 32 mm - 25 mm</t>
  </si>
  <si>
    <t>01114/ORSE</t>
  </si>
  <si>
    <t>11.16</t>
  </si>
  <si>
    <t>Joelho de redução 90º soldável com bucha de latão 25 mm - 1/2"</t>
  </si>
  <si>
    <t>04965/ORSE</t>
  </si>
  <si>
    <t>11.17</t>
  </si>
  <si>
    <t>Luva de redução soldável 40 mm - 32 mm</t>
  </si>
  <si>
    <t>01160/ORSE</t>
  </si>
  <si>
    <t>11.18</t>
  </si>
  <si>
    <t>Luva de redução soldável 50 mm - 20 mm</t>
  </si>
  <si>
    <t>11.19</t>
  </si>
  <si>
    <t>Luva soldável 32 mm</t>
  </si>
  <si>
    <t>11.20</t>
  </si>
  <si>
    <t>Luva soldável com rosca - 3/4"</t>
  </si>
  <si>
    <t>11.21</t>
  </si>
  <si>
    <t>Registro de gaveta c/ canopla cromada (1")</t>
  </si>
  <si>
    <t>11.22</t>
  </si>
  <si>
    <t>Registro de gaveta c/ canopla cromada (1.1/2")</t>
  </si>
  <si>
    <t>11.23</t>
  </si>
  <si>
    <t>Registro de gaveta c/ canopla cromada (1/2")</t>
  </si>
  <si>
    <t>11.24</t>
  </si>
  <si>
    <t>Registro de gaveta c/ canopla cromada (3/4")</t>
  </si>
  <si>
    <t>11.25</t>
  </si>
  <si>
    <t>Registro de pressão c/ canopla cromada (3/4")</t>
  </si>
  <si>
    <t>11.26</t>
  </si>
  <si>
    <t>Tê 90º soldável - 25 mm</t>
  </si>
  <si>
    <t>11.27</t>
  </si>
  <si>
    <t>Tê 90º soldável - 40 mm</t>
  </si>
  <si>
    <t>01170/ORSE</t>
  </si>
  <si>
    <t>11.28</t>
  </si>
  <si>
    <t>Tê 90º soldável - 50 mm</t>
  </si>
  <si>
    <t>01171/ORSE</t>
  </si>
  <si>
    <t>11.29</t>
  </si>
  <si>
    <t>Tê de redução 90º soldável 32 mm - 25 mm</t>
  </si>
  <si>
    <t>01177/ORSE</t>
  </si>
  <si>
    <t>11.30</t>
  </si>
  <si>
    <t>Tê de redução 90º soldável 50 mm - 40 mm</t>
  </si>
  <si>
    <t>01182/ORSE</t>
  </si>
  <si>
    <t>11.31</t>
  </si>
  <si>
    <t>Torneira cromada para lavatório 1/2"</t>
  </si>
  <si>
    <t>86915/SINAPI</t>
  </si>
  <si>
    <t>11.32</t>
  </si>
  <si>
    <t>Torneira de bóia p/caixa d'agua em pvc d = 3/4"</t>
  </si>
  <si>
    <t>04281/ORSE</t>
  </si>
  <si>
    <t>11.33</t>
  </si>
  <si>
    <t>Tubo PVC rígido soldável - 20 mm</t>
  </si>
  <si>
    <t>01027/ORSE</t>
  </si>
  <si>
    <t>11.34</t>
  </si>
  <si>
    <t>Tubo PVC rígido soldável - 25 mm</t>
  </si>
  <si>
    <t>01028/ORSE</t>
  </si>
  <si>
    <t>11.35</t>
  </si>
  <si>
    <t>Tubo PVC rígido soldável - 32 mm</t>
  </si>
  <si>
    <t>01029/ORSE</t>
  </si>
  <si>
    <t>11.36</t>
  </si>
  <si>
    <t>Tubo PVC rígido soldável - 40 mm</t>
  </si>
  <si>
    <t>01030/ORSE</t>
  </si>
  <si>
    <t>11.37</t>
  </si>
  <si>
    <t>Tubo PVC rígido soldável - 50 mm</t>
  </si>
  <si>
    <t>11.38</t>
  </si>
  <si>
    <t>União soldável - 20 mm</t>
  </si>
  <si>
    <t>11.39</t>
  </si>
  <si>
    <t>União soldável - 50 mm</t>
  </si>
  <si>
    <t>11.40</t>
  </si>
  <si>
    <t>Vaso sanitario para deficientes físicos para válvula de descarga, em louca branca, com acessórios, inclusive assento, conjunto de fixação, anel de vedação, tubo PVC de ligação</t>
  </si>
  <si>
    <t>11.41</t>
  </si>
  <si>
    <t>Vaso sanitario sifonado, para válvula de descarga, em louca branca, com acessórios, inclusive assento plástico, anel de vedação, tubo PVC de ligação</t>
  </si>
  <si>
    <t>02060/ORSE</t>
  </si>
  <si>
    <t>INSTALAÇÕES SANITÁRIAS</t>
  </si>
  <si>
    <t>12.1</t>
  </si>
  <si>
    <t>Bucha de redução longa 50 mm - 40 mm</t>
  </si>
  <si>
    <t>12.2</t>
  </si>
  <si>
    <t>Caixa de inspeção de esgoto sifonada (60x60 cm)</t>
  </si>
  <si>
    <t>12.3</t>
  </si>
  <si>
    <t>Caixa sifonada (100x100x50 mm)</t>
  </si>
  <si>
    <t>12.4</t>
  </si>
  <si>
    <t>Caixa sifonada (150x150x50 mm)</t>
  </si>
  <si>
    <t>04282/ORSE</t>
  </si>
  <si>
    <t>12.5</t>
  </si>
  <si>
    <t>Curva 90º curta - 40 mm</t>
  </si>
  <si>
    <t>12.6</t>
  </si>
  <si>
    <t>Fossa séptica, em concreto armado, (d 2,50 x h 12,00)</t>
  </si>
  <si>
    <t>12.7</t>
  </si>
  <si>
    <t>Joelho 45º - 40 mm</t>
  </si>
  <si>
    <t>12.8</t>
  </si>
  <si>
    <t>Joelho 45º -50 mm</t>
  </si>
  <si>
    <t>12.9</t>
  </si>
  <si>
    <t>Joelho 90º - 100 mm</t>
  </si>
  <si>
    <t>12.10</t>
  </si>
  <si>
    <t>Joelho 90º c/ anel p/ esgoto secundário 40 mm - 1.1/2"</t>
  </si>
  <si>
    <t>12.11</t>
  </si>
  <si>
    <t>Junção simples 100 mm - 100 mm</t>
  </si>
  <si>
    <t>12.12</t>
  </si>
  <si>
    <t>Junção simples 100 mm - 50 mm</t>
  </si>
  <si>
    <t>12.13</t>
  </si>
  <si>
    <t>Junção simples 50 mm - 50 mm</t>
  </si>
  <si>
    <t>12.14</t>
  </si>
  <si>
    <t>Sifão de copo para pia e lavatório 1" - 1.1/2"</t>
  </si>
  <si>
    <t>86882/SINAPI</t>
  </si>
  <si>
    <t>12.15</t>
  </si>
  <si>
    <t>Sumidouro em alvenaria (d 2,30 x h 6,00)</t>
  </si>
  <si>
    <t>12.16</t>
  </si>
  <si>
    <t>Tê sanitário 100 mm - 50 mm</t>
  </si>
  <si>
    <t>12.17</t>
  </si>
  <si>
    <t>Tubo PVC ponta e bolsa c/ virola - 50 mm</t>
  </si>
  <si>
    <t>12.18</t>
  </si>
  <si>
    <t>Tubo rígido c/ ponta lisa 100 mm</t>
  </si>
  <si>
    <t>12.19</t>
  </si>
  <si>
    <t>Tubo rígido c/ ponta lisa 40 mm</t>
  </si>
  <si>
    <t>12.20</t>
  </si>
  <si>
    <t>Tubo rígido c/ ponta lisa 50 mm</t>
  </si>
  <si>
    <t>12.21</t>
  </si>
  <si>
    <t>Válvula para lavatório e tamque 1"</t>
  </si>
  <si>
    <t>DRENAGEM PLUVIAL</t>
  </si>
  <si>
    <t>13.1</t>
  </si>
  <si>
    <t>Calha em chapa de aço galvanizado n° 24</t>
  </si>
  <si>
    <t>09965/ORSE</t>
  </si>
  <si>
    <t>13.2</t>
  </si>
  <si>
    <t>Tubo de queda -  água pluvial DN=150 mm</t>
  </si>
  <si>
    <t>13.3</t>
  </si>
  <si>
    <t>Joelho PVC 90° d=150 mm - tubulação pluvial</t>
  </si>
  <si>
    <t>13.4</t>
  </si>
  <si>
    <t>Ralo hemisférico tipo "abacaxi" com tela de aço com funil de saída cônico</t>
  </si>
  <si>
    <t>07752/ORSE</t>
  </si>
  <si>
    <t>13.5</t>
  </si>
  <si>
    <t>Canaleta de concreto c/ tampa removível em chapa de aço (0,25 x 0,25 x 0,25m)</t>
  </si>
  <si>
    <t>04421/ORSE</t>
  </si>
  <si>
    <t>INSTALAÇÕES ELÉTRICAS 220/380</t>
  </si>
  <si>
    <t>14.1</t>
  </si>
  <si>
    <t>Condulete em alumínio tipo T de 3/4", inclusive acessórios</t>
  </si>
  <si>
    <t>95795/SINAPI</t>
  </si>
  <si>
    <t>14.2</t>
  </si>
  <si>
    <t>Condulete em alumínio tipo L de 3/4", inclusive acessórios</t>
  </si>
  <si>
    <t>95808/SINAPI</t>
  </si>
  <si>
    <t>14.3</t>
  </si>
  <si>
    <t>Condulete em alumínio tipo TA de 3/4", inclusive acessórios</t>
  </si>
  <si>
    <t>14.4</t>
  </si>
  <si>
    <t>Condulete em alumínio tipo XA de 3/4", inclusive acessórios</t>
  </si>
  <si>
    <t>09933/ORSE</t>
  </si>
  <si>
    <t>14.5</t>
  </si>
  <si>
    <t>Caixa de PVC 4x2", inclusive espelho</t>
  </si>
  <si>
    <t>00784/ORSE</t>
  </si>
  <si>
    <t>14.6</t>
  </si>
  <si>
    <t>Caixa PVC octogonal 4x4"</t>
  </si>
  <si>
    <t>14.7</t>
  </si>
  <si>
    <t>Condutor de cobre unipolar, isolação em PVC/70ºC, camada de proteção em PVC, não propagador de chamas, classe de tensão 750V, encordoamento classe 5, flexível, com seção 2,5 mm²</t>
  </si>
  <si>
    <t>11186/ORSE</t>
  </si>
  <si>
    <t>14.8</t>
  </si>
  <si>
    <t>Condutor de cobre unipolar, isolação em PVC/70ºC, camada de proteção em PVC, não propagador de chamas, classe de tensão 750V, encordoamento classe 5, flexível, com seção 4 mm²</t>
  </si>
  <si>
    <t>11187/ORSE</t>
  </si>
  <si>
    <t>14.9</t>
  </si>
  <si>
    <t>Condutor de cobre unipolar, isolação em PVC/70ºC, camada de proteção em PVC, não propagador de chamas, classe de tensão 750V, encordoamento classe 5, flexível, com seção 16 mm²</t>
  </si>
  <si>
    <t>03801/ORSE</t>
  </si>
  <si>
    <t>14.10</t>
  </si>
  <si>
    <t>Condutor de cobre unipolar, isolação em PVC/90ºC, camada de proteção em PVC, não propagador de chamas, classe de tensão 1000V, encordoamento classe 5, flexível, com seção 35 mm²</t>
  </si>
  <si>
    <t>09968/ORSE</t>
  </si>
  <si>
    <t>14.11</t>
  </si>
  <si>
    <t>Tomada 2p + t de embutir, 10 A, completa</t>
  </si>
  <si>
    <t>00478/ORSE</t>
  </si>
  <si>
    <t>14.12</t>
  </si>
  <si>
    <t>Tomada 2p + t para piso, 10 A, completa</t>
  </si>
  <si>
    <t>00780/ORSE</t>
  </si>
  <si>
    <t>14.13</t>
  </si>
  <si>
    <t>Interruptor 1 tecla simples</t>
  </si>
  <si>
    <t>92025/SINAPI</t>
  </si>
  <si>
    <t>14.14</t>
  </si>
  <si>
    <t>Disjuntor termomagnetico monopolar 10 A, padrão DIN (linha branca)</t>
  </si>
  <si>
    <t>93653/SINAPI</t>
  </si>
  <si>
    <t>14.15</t>
  </si>
  <si>
    <t>Disjuntor termomagnetico binopolar 20 A, padrão DIN (linha branca)</t>
  </si>
  <si>
    <t>93662/SINAPI</t>
  </si>
  <si>
    <t>14.16</t>
  </si>
  <si>
    <t>Disjuntor termomagnetico binopolar 25 A, padrão DIN (linha branca)</t>
  </si>
  <si>
    <t>93663/SINAPI</t>
  </si>
  <si>
    <t>14.17</t>
  </si>
  <si>
    <t>Disjuntor termomagnetico triopolar 150 A, padrão DIN (linha branca)</t>
  </si>
  <si>
    <t>14.18</t>
  </si>
  <si>
    <t>Disjuntor termomagnetico triopolar 175 A, padrão DIN (linha branca)</t>
  </si>
  <si>
    <t>14.19</t>
  </si>
  <si>
    <t>Dispositivo residual diferencial - DR 125A In 30 mA</t>
  </si>
  <si>
    <t>SINAPI/39464</t>
  </si>
  <si>
    <t>14.20</t>
  </si>
  <si>
    <t>Quadro de distribuição de embutir, com barramento, em chapa de aço, para 4 disjuntores unipolares + 8 bipolares + 1 tripolar + 1 DR, padrão europeu (linha branca), exclusive disjuntores</t>
  </si>
  <si>
    <t>14.21</t>
  </si>
  <si>
    <t>Quadro de distribuição de embutir, com barramento, em chapa de aço, para 1 disjuntor unipolar + 5 bipolares + 2 tripolares, padrão europeu (linha branca), exclusive disjuntores</t>
  </si>
  <si>
    <t>14.22</t>
  </si>
  <si>
    <t>Eletroduto de pvc rígido roscável, 1", inclusive curvas</t>
  </si>
  <si>
    <t>14.23</t>
  </si>
  <si>
    <t>Eletroduto de pvc rígido roscável, 3/4", inclusive curvas</t>
  </si>
  <si>
    <t>14.24</t>
  </si>
  <si>
    <t>Eletroduto de pvc rígido roscável, 1.1/2", inclusive curvas</t>
  </si>
  <si>
    <t>14.25</t>
  </si>
  <si>
    <t>Eletroduto de ferro galvanizado d= 3/4" - inclusive braçadeiras</t>
  </si>
  <si>
    <t>14.26</t>
  </si>
  <si>
    <t>Eletroduto de ferro galvanizado d= 1" - inclusive braçadeiras</t>
  </si>
  <si>
    <t>14.27</t>
  </si>
  <si>
    <t>Eletroduto de ferro galvanizado d= 1.1/2" - inclusive braçadeiras</t>
  </si>
  <si>
    <t>14.28</t>
  </si>
  <si>
    <t>Luminária calha sobrepor p/lamp.fluorescente 2x40w, completa, incl.reator eletronico e lampadas</t>
  </si>
  <si>
    <t>03954/ORSE</t>
  </si>
  <si>
    <t>14.29</t>
  </si>
  <si>
    <t>Luminária calha sobrepor p/lamp.fluorescente 1x40w, completa, incl.reator eletronico e lampadas</t>
  </si>
  <si>
    <t>00570/ORSE</t>
  </si>
  <si>
    <t>14.30</t>
  </si>
  <si>
    <t xml:space="preserve">Luminária blindada p/ alta pressão, linha industrial projetor hermético para lâmpada de luz mista de  500 W, com proteção da lâmpada </t>
  </si>
  <si>
    <t>SISTEMA DE PROTEÇÃO CONTRA DESCARGAS ATMOSFÉRICAS (SPDA)</t>
  </si>
  <si>
    <t>15.1</t>
  </si>
  <si>
    <t>Caixa de inspeção 30x30x40 cm com tampa de ferro fundido</t>
  </si>
  <si>
    <t>15.2</t>
  </si>
  <si>
    <t>Conector de bronze para haste 5/8"</t>
  </si>
  <si>
    <t>15.3</t>
  </si>
  <si>
    <t>Cordoalha de cobre nu 35 mm²</t>
  </si>
  <si>
    <t>15.4</t>
  </si>
  <si>
    <t>Haste tipo Coopperweld 5/8" - 3m</t>
  </si>
  <si>
    <t>15.5</t>
  </si>
  <si>
    <t>Tubo PVC 40 mm</t>
  </si>
  <si>
    <t>15.6</t>
  </si>
  <si>
    <t>Terminal de pressão tipo prensa com 4 parafusos</t>
  </si>
  <si>
    <t>SERVIÇOS DIVERSOS</t>
  </si>
  <si>
    <t>16.1</t>
  </si>
  <si>
    <t>Alambrado com tela de arame galvanizado fio 12 bwg, malha 2", revestido em pvc, fixada com tubos de ferro galvanizado 2"</t>
  </si>
  <si>
    <t>12034/ORSE</t>
  </si>
  <si>
    <t>16.2</t>
  </si>
  <si>
    <t>Portão em tubo de ferro galvanizado 2" e tela de arame galvanizado fio 12 bwg, malha 2", revestido em pvc, inclusive dobradiças e fechadura</t>
  </si>
  <si>
    <t>16.3</t>
  </si>
  <si>
    <t>Bancada em granito cinza andorinha para lavatório com testeiras - espessura 2cm, largura 50 cm, conforme projeto</t>
  </si>
  <si>
    <t>10759/ORSE</t>
  </si>
  <si>
    <t>16.4</t>
  </si>
  <si>
    <t>Banco de concreto armado polido (l=0,45m) sem arestas, conforme projeto</t>
  </si>
  <si>
    <t>02410/ORSE</t>
  </si>
  <si>
    <t>16.5</t>
  </si>
  <si>
    <t>Barra de apoio para deficiente em ferro galvanizado de 11/2", l = 140cm (lavatório), inclusive parafusos de fixação e pintura</t>
  </si>
  <si>
    <t>16.6</t>
  </si>
  <si>
    <t>Barra de apoio para deficiente em ferro galvanizado de 11/2", l = 80cm (bacia sanitária e mictório), inclusive parafusos de fixação e pintura</t>
  </si>
  <si>
    <t>08492/ORSE</t>
  </si>
  <si>
    <t>16.7</t>
  </si>
  <si>
    <t>Espelho plano 4mm</t>
  </si>
  <si>
    <t>01889/ORSE</t>
  </si>
  <si>
    <t>16.8</t>
  </si>
  <si>
    <t>Estrutura metálica c/ tabelas de basquete</t>
  </si>
  <si>
    <t>cj</t>
  </si>
  <si>
    <t>16.9</t>
  </si>
  <si>
    <t>Estrutura metálica de traves de futsal</t>
  </si>
  <si>
    <t>16.10</t>
  </si>
  <si>
    <t>Estrutura metálica p/ rede de voley</t>
  </si>
  <si>
    <t>16.11</t>
  </si>
  <si>
    <t>Soleira em granito cinza andorinha, l = 15 cm, e = 2 cm</t>
  </si>
  <si>
    <t>16.12</t>
  </si>
  <si>
    <t>Limpeza geral</t>
  </si>
  <si>
    <t xml:space="preserve"> TOTAL </t>
  </si>
  <si>
    <t>CONTRATADA: J FORTES ENGENHARIA</t>
  </si>
  <si>
    <t>OBRA: CONCLUSÃO DAS OBRAS DE UMA QUADRA COBERTA COM VESTUÁRIO, COM RECURSOS DO PAC 2 - FNDE</t>
  </si>
  <si>
    <t>9ª MEDIÇÃO - MEMÓRIA DE CALCULO</t>
  </si>
  <si>
    <t>ITEM</t>
  </si>
  <si>
    <t>DESCRIÇÃO</t>
  </si>
  <si>
    <t>QUANT.</t>
  </si>
  <si>
    <t>UNID</t>
  </si>
  <si>
    <t>M2</t>
  </si>
  <si>
    <t>Estrutura de aço em arco vão de 30m Total a ser executada</t>
  </si>
  <si>
    <t>M²</t>
  </si>
  <si>
    <t>Total de arcos a serem executados</t>
  </si>
  <si>
    <t>Arcos</t>
  </si>
  <si>
    <t>Quantidade de arcos executados até o momento</t>
  </si>
  <si>
    <t xml:space="preserve"> Arcos</t>
  </si>
  <si>
    <t>1.114,00m² de construção - 7,0 unid de arcos</t>
  </si>
  <si>
    <t>Quantidade equivalente em m² - 2,00 arcos</t>
  </si>
  <si>
    <t>(1.140,00m² X 2 arcos ) / 7 arcos</t>
  </si>
  <si>
    <t>Equivalente executado (m²)</t>
  </si>
  <si>
    <t>Equivalente em percentual executado</t>
  </si>
  <si>
    <t>RESUMO MEDIÇÃO</t>
  </si>
  <si>
    <t>VALOR MEDIÇÃO</t>
  </si>
  <si>
    <t>STATUS</t>
  </si>
  <si>
    <t>1ª Medição</t>
  </si>
  <si>
    <t>PAGA</t>
  </si>
  <si>
    <t>2ª Medição</t>
  </si>
  <si>
    <t>3ª Medição</t>
  </si>
  <si>
    <t>4ª Medição</t>
  </si>
  <si>
    <t>5ª Medição</t>
  </si>
  <si>
    <t>6ª Medição</t>
  </si>
  <si>
    <t>A PAGAR</t>
  </si>
  <si>
    <t>TOTAL PAGO</t>
  </si>
  <si>
    <t>TOTAL GERAL</t>
  </si>
  <si>
    <t>VALOR DO CONTRATO</t>
  </si>
  <si>
    <t>SALDO A MEDIR A PARTIR DA 5ª MEDIÇÃO</t>
  </si>
  <si>
    <t>SALDO A MEDIR A PARTIR DA 6ª MEDIÇÃO</t>
  </si>
  <si>
    <t>ESTADO DA PARAÍBA</t>
  </si>
  <si>
    <t>PREFEITURA MUNICIPAL DE BAYEUX</t>
  </si>
  <si>
    <t>OBRA: CONSTRUÇÃO DE UBS – UNIDADE BÁSICA DE SAÚDE, PORTE II, NO BAIRRO COMERCIAL NORTE</t>
  </si>
  <si>
    <t>JOSE DIONISIO DA SILVA FILHO EIRELI</t>
  </si>
  <si>
    <t>33.375.398/0001-08</t>
  </si>
  <si>
    <t>018/2020 - FMS - PMBEX</t>
  </si>
  <si>
    <t>CONSTRUÇÃO DE UBS – UNIDADE BÁSICA DE SAÚDE, PORTE II, NO BAIRRO COMERCIAL NORTE EM BAYEUX/PB</t>
  </si>
  <si>
    <t>RUA PROJETADA SN, BAIRRO COMERCIAL NORTE - BAYEUX - PB</t>
  </si>
  <si>
    <t>Executado Físico</t>
  </si>
  <si>
    <t>1.0</t>
  </si>
  <si>
    <t>Locação convencional de obra, utilizando gabarito de tábuas corridas pontaletadas a cada 2,00m - 2 utilizações. AF_10/2018</t>
  </si>
  <si>
    <t>Entrada de energia ellétrica trífasica demanda entre 0 e 15,2kw - Ver 01</t>
  </si>
  <si>
    <t>Placa de obra em chapa de aço galvanizado</t>
  </si>
  <si>
    <t xml:space="preserve">Limpeza manual de vegetação em terreno com enxada (CÓDIGO - 98524/SINAPI - 08/2021)   </t>
  </si>
  <si>
    <t>2.0</t>
  </si>
  <si>
    <t>Escavação manual de valas com profundidade menor ou igual a 1,30m. AF_03/2016</t>
  </si>
  <si>
    <t xml:space="preserve">Aterro manual com solo argilo-arenoso e compactado mecanizada (CÓDIGO - 94319/SINAPI - 08/2021) </t>
  </si>
  <si>
    <t>3.0</t>
  </si>
  <si>
    <t>INFRA ESTRUTURA: FUNDAÇÕES</t>
  </si>
  <si>
    <t>Sapatas Isoladas/Arranque dos Pilares</t>
  </si>
  <si>
    <t>Escavação manual para bloco de sapata, com previsão de fôrma.</t>
  </si>
  <si>
    <t>Regularização e compactação de subleito até 20cm de espessura</t>
  </si>
  <si>
    <t>Lastro de concreto preparo mecânico, inclusos aditivo impermeabilizante, lançamento e adensamento</t>
  </si>
  <si>
    <t>3.1.4</t>
  </si>
  <si>
    <t>Fabricação, montagem e desmontagem de fôrma para sapata, em madeira serrada, E=25 mm, 4 utilizações. AF_06/2017</t>
  </si>
  <si>
    <t>3.1.5</t>
  </si>
  <si>
    <t>Armação de sapata utilizando aço CA-6O de 5 mm - montagem. AF_06/2017</t>
  </si>
  <si>
    <t>kg</t>
  </si>
  <si>
    <t>3.1.6</t>
  </si>
  <si>
    <t>Armação de sapata utilizando aço CA-5O de 6,3 mm - montagem. AF_06/2017</t>
  </si>
  <si>
    <t>3.1.7</t>
  </si>
  <si>
    <t>Armação de sapata utilizando aço CA-5O de 8 mm - montagem. AF_06/2017</t>
  </si>
  <si>
    <t>3.1.8</t>
  </si>
  <si>
    <t>Armação de sapata utilizando aço CA-5O de 10 mm - montagem. AF_06/2017</t>
  </si>
  <si>
    <t>3.1.9</t>
  </si>
  <si>
    <t>Armação de sapata utilizando aço CA-5O de 12,5 mm - montagem. AF_06/2017</t>
  </si>
  <si>
    <t>3.1.10</t>
  </si>
  <si>
    <t>Armação de sapata utilizando aço CA-5O de 16 mm - montagem. AF_06/2017</t>
  </si>
  <si>
    <t>3.1.11</t>
  </si>
  <si>
    <t>Armação de sapata utilizando aço CA-5O de 20 mm - montagem. AF_06/2017</t>
  </si>
  <si>
    <t>3.1.12</t>
  </si>
  <si>
    <t xml:space="preserve">Concreto Fck= 30Mpa, traço 1:2,1:2,6 (cimento/areia média/brita 1) - preparo mecânico com betoneira 400 L. </t>
  </si>
  <si>
    <t>3.1.13</t>
  </si>
  <si>
    <t>Lançamento com uso de baldes, adensamento e acabamento de concreto em estruturas.</t>
  </si>
  <si>
    <t>3.1.14</t>
  </si>
  <si>
    <t>Reaterro manual apiloado com soquete.</t>
  </si>
  <si>
    <t>Alvenaria de Pedra Argamassada</t>
  </si>
  <si>
    <t>Embasamento com pedra argamassada utilizando argamassa de cimento e areia traço 1:4</t>
  </si>
  <si>
    <t>3.3</t>
  </si>
  <si>
    <t>Vigas Baldrame (cintamento)</t>
  </si>
  <si>
    <t>3.3.1</t>
  </si>
  <si>
    <t>Fabricação, montagem e desmontagem de fôrma para viga baldrame, em madeira serrada, E=25 mm, 4 utilizações. AF_06/2017</t>
  </si>
  <si>
    <t>3.3.2</t>
  </si>
  <si>
    <t>Armação de pilar ou viga de uma estrutura convencional de concreto armado em uma edificação térrea ou sobrado utilizando aço CA-60 de 5.0 mm - montagem. AF_12/2015</t>
  </si>
  <si>
    <t>3.3.3</t>
  </si>
  <si>
    <t>Armação de pilar ou viga de uma estrutura convencional de concreto armado em um edificio de multiplos pavimentos utilizando aço CA-50 de 6.3 mm - montagem. AF_12/2015</t>
  </si>
  <si>
    <t>3.3.4</t>
  </si>
  <si>
    <t>Concreto Fck = 30Mpa, traço 1:2,1:2,5 (cimento/areia média/brita 1) - preparo mecânico com betoneira 400 L. AF_07/2016</t>
  </si>
  <si>
    <t>3.3.5</t>
  </si>
  <si>
    <t>Lançamento com uso de baldes, adensamento e acabamento de concreto em estruturas. AF_12/2015</t>
  </si>
  <si>
    <t>4.0</t>
  </si>
  <si>
    <t>Pilares (Térreo, Platimbanda e Caixa D'água)</t>
  </si>
  <si>
    <t>Montagem e desmontagem de fôrma de pilares retangulares e estruturas similares com área média das seções maior que 0,25 m², pé-direito simples, em chapa de madeira compensada plastificada, 18 utilizações. AF_12/2015</t>
  </si>
  <si>
    <t>Armação de pilar ou viga de uma estrutura convencional de concreto armado em uma edificação térrea ou sobrado, utilizando aço CA-60 de 5,0mm - montagem. AF_12/2015</t>
  </si>
  <si>
    <t>4.1.3</t>
  </si>
  <si>
    <t>Armação de pilar ou viga de uma estrutura convencional de concreto armado em uma edificação térrea ou sobrado, utilizando aço CA-50 de 10,0mm - montagem. AF_12/2015</t>
  </si>
  <si>
    <t>4.1.4</t>
  </si>
  <si>
    <t>Armação de pilar ou viga de uma estrutura convencional de concreto armado em uma edificação térrea ou sobrado, utilizando aço CA-50 de 12,5mm - montagem. AF_12/2015</t>
  </si>
  <si>
    <t>4.1.5</t>
  </si>
  <si>
    <t>Armação de pilar ou viga de uma estrutura convencional de concreto armado em uma edificação térrea ou sobrado, utilizando aço CA-50 de 16,0mm - montagem. AF_12/2015</t>
  </si>
  <si>
    <t>4.1.6</t>
  </si>
  <si>
    <t>Armação de pilar ou viga de uma estrutura convencional de concreto armado em uma edificação térrea ou sobrado, utilizando aço CA-50 de 20,0mm - montagem. AF_12/2015</t>
  </si>
  <si>
    <t>4.1.7</t>
  </si>
  <si>
    <t>Concreto Fck = 30Mpa, traço 1:2,1:2,5 (cimento/ areia média/ brita 1) - preparo mecânico com betoneira 400 L. AF_07/2016</t>
  </si>
  <si>
    <t>4.1.8</t>
  </si>
  <si>
    <t>Montagem e desmontagem de fôrma de viga, escoramento metálico, pé-direito simples, em chapa de madeira plastificada, 18 utilizações, AF_12/2015</t>
  </si>
  <si>
    <t>4.2.3</t>
  </si>
  <si>
    <t>Armação de pilar ou viga de uma estrutura convencional de concreto armado em uma edificação térrea ou sobrado, utilizando aço CA-50 de 8,0mm - montagem. AF_12/2015</t>
  </si>
  <si>
    <t>4.2.4</t>
  </si>
  <si>
    <t>Armação de pilar ou viga de uma estrutura convencional de concreto armado em uma edificação térrea ou sobrado, utilizando aço CA-50 de 6,3mm - montagem. AF_12/2015</t>
  </si>
  <si>
    <t>4.2.5</t>
  </si>
  <si>
    <t>4.2.6</t>
  </si>
  <si>
    <t>4.2.7</t>
  </si>
  <si>
    <t>4.2.8</t>
  </si>
  <si>
    <t>4.2.9</t>
  </si>
  <si>
    <t>4.2.10</t>
  </si>
  <si>
    <t>Cinta de amarração em alvenaria moldado in loco com utilização de blocos canaleta. AF_03/2016</t>
  </si>
  <si>
    <t>Lajes (Térreo e Caixa D'água)</t>
  </si>
  <si>
    <t>Montagem e desmontagem de fôrma de laje maciça com área média maior que 20 m², pé-direito simples, em chapa de madeira compensada, plastificada, 18 utilizações, AF_12/2015</t>
  </si>
  <si>
    <t>4.3.2</t>
  </si>
  <si>
    <t>Armação de laje de uma estrutura convencional de concreto armado em uma edificação térrea ou sobrado utilizando aço CA-50 de 8,0 mm - montagem, AF_12/2015</t>
  </si>
  <si>
    <t>4.3.3</t>
  </si>
  <si>
    <t>Armação de laje de uma estrutura convencional de concreto armado em uma edificação térrea ou sobrado utilizando aço CA-50 de 10,0 mm - montagem, AF_12/2015</t>
  </si>
  <si>
    <t>4.3.4</t>
  </si>
  <si>
    <t>Armação de laje de uma estrutura convencional de concreto armado em uma edificação térrea ou sobrado utilizando aço CA-50 de 12,5 mm - montagem, AF_12/2015</t>
  </si>
  <si>
    <t>4.3.5</t>
  </si>
  <si>
    <t>4.3.6</t>
  </si>
  <si>
    <t>4.3.7</t>
  </si>
  <si>
    <t>Laje pré-moldada para forro, sobrecarga 100kg/m², vãos até 3,50m e=8cm,com lajotas e cap. com concreto Fck=20Mpa, 3cm, inter-eixo 38cm, com escoramento (reaproveitamento 3x) e ferragem negativa</t>
  </si>
  <si>
    <t>4.4</t>
  </si>
  <si>
    <t>Vergas e Contravergas</t>
  </si>
  <si>
    <t>4.4.1</t>
  </si>
  <si>
    <t>Verga pré-moldada para janelas com até 1,5m de vão. AF_03/2016</t>
  </si>
  <si>
    <t>4.4.2</t>
  </si>
  <si>
    <t>Verga pré-moldada para portas, portões e aberturas com até 1,5m de vão. AF_03/2016</t>
  </si>
  <si>
    <t>4.4.3</t>
  </si>
  <si>
    <t>Contraverga pré-moldada para vãos de até 1,5m de comprimento. AF_03/2016</t>
  </si>
  <si>
    <t>4.4.4</t>
  </si>
  <si>
    <t>Verga pré-moldada para portas, portões e aberturas com mais de 1,5m de vão. AF_03/2016</t>
  </si>
  <si>
    <t>5.00</t>
  </si>
  <si>
    <t>ELEVAÇÃO</t>
  </si>
  <si>
    <t>5.01</t>
  </si>
  <si>
    <t>Alvenaria de vedação de blocos cerâmicos furados na vertical de 9x19x39cm (espessura 9cm) de paredes com área líquida maior ou igual a 6m² sem vãos e argamassa de assentamento com preparo com betoneira. AF_06/2014</t>
  </si>
  <si>
    <t>6.0</t>
  </si>
  <si>
    <t>Telha Fibrocimento</t>
  </si>
  <si>
    <t>6.1.1</t>
  </si>
  <si>
    <t>Cobertura em pollcarbonato alveolar de 8mm, fixado em peças de alumínio inclusive instalação</t>
  </si>
  <si>
    <t>6.1.2</t>
  </si>
  <si>
    <t>Fabricação e instalação de estrutura pontaletada de madeira não aparelhada para telhados com até 2 águas e para telha ondulada de fibrocimento, metálica, plástica ou termoacústica, incluso transporte verticaç. AF_12/2015</t>
  </si>
  <si>
    <t>6.1.3</t>
  </si>
  <si>
    <t>Trama de madeira composta por terças para  telhados de até 2 águas para telha estrutural de fibrocimento, incluso transporte vertical. AF_12/2015</t>
  </si>
  <si>
    <t>6.1.4</t>
  </si>
  <si>
    <t>Telhamento com telha ondulada de fibrocimento E = 6 mm, com recobrimento lateral de 1.1/4 de onda para telhado com inclinação máxima de 10º, com até 2 águas, incluso içamento. AF_08/2016</t>
  </si>
  <si>
    <t>Rufo, Calha e Imunização da Coberta</t>
  </si>
  <si>
    <t>6.2.1</t>
  </si>
  <si>
    <t>Rufo em chapa de aço galvanizado número 24, corte de 25 cm, incluso transporte vertical. AF_06/2018</t>
  </si>
  <si>
    <t>6.2.2</t>
  </si>
  <si>
    <t>Calha em chapa de aço galvanizado número 24, desenvolvimento de 33 cm, incluso transporte vertical. AF_06/2016</t>
  </si>
  <si>
    <t>6.3</t>
  </si>
  <si>
    <t>Forro do Teto</t>
  </si>
  <si>
    <t>6.3.1</t>
  </si>
  <si>
    <t>Forro em placas de gesso, para ambientes comerciais. AF_05/2017_P</t>
  </si>
  <si>
    <t>7.0</t>
  </si>
  <si>
    <t>IMPERMEABILIZAÇÕES</t>
  </si>
  <si>
    <t>Impermeabilização de estruturas enterradas, com tinta asfáltica, duas demãos</t>
  </si>
  <si>
    <t>Impermeabilização de superfície com manta asfáltica, uma camada, inclusive aplicação de primer asfáltico, E=3mm. AF_06/2018</t>
  </si>
  <si>
    <t>8.0</t>
  </si>
  <si>
    <t>Portas</t>
  </si>
  <si>
    <t>8.1.1</t>
  </si>
  <si>
    <t>Porta em alumínio de abrir tipo veneziana com guarnição, fixação com parafusos - fornecimento e instalação. AF_08/2015</t>
  </si>
  <si>
    <t>8.1.2</t>
  </si>
  <si>
    <t>Porta em vidro temperado 10mm, na cor verde. Inclusive ferragens e acessórios e instalação</t>
  </si>
  <si>
    <t>8.1.3</t>
  </si>
  <si>
    <t>Grade de ferro d gradil em barra chata 3/4" x 1/8", inclusive ferrolho e dobradiçás conforme desenho</t>
  </si>
  <si>
    <t>8.1.4</t>
  </si>
  <si>
    <t>Kit de porta de madeira para pintura, semi-oca (leve ou média), padrão médio, 70x210cm, espessura de 3.5cm, itens inclusos: dobradiças, montagem e instalação do batente, fechadura com execução do furo - fornecimento e instalaçao. AF_08/2015</t>
  </si>
  <si>
    <t>8.1.5</t>
  </si>
  <si>
    <t>Kit de porta de madeira para pintura, semi-oca (leve ou média), padrão médio, 80x210cm, espessura de 3.5cm, itens inclusos: dobradiças, montagem e instalação do batente, fechadura com execução do furo - fornecimento e instalaçao. AF_08/2015</t>
  </si>
  <si>
    <t>8.1.6</t>
  </si>
  <si>
    <t>Kit de porta de madeira para pintura, semi-oca (leve ou média), padrão médio, 90x210cm, espessura de 3.5cm, itens inclusos: dobradiças, montagem e instalação do batente, fechadura com execução do furo - fornecimento e instalaçao. AF_08/2015</t>
  </si>
  <si>
    <t>8.1.7</t>
  </si>
  <si>
    <t>8.1.8</t>
  </si>
  <si>
    <t>Janelas</t>
  </si>
  <si>
    <t>8.2.1</t>
  </si>
  <si>
    <t>Janela de alumínio de correr, 2 folhas, fixação com argamassa, com vidros, padronizada. AF_07/2016</t>
  </si>
  <si>
    <t>8.2.2</t>
  </si>
  <si>
    <t>Janela de alumínio maxim-ar, fixação com parafuso, vedação com espuma expansiva PU, com vidros,padronizada. AF_07/2016</t>
  </si>
  <si>
    <t>9.0</t>
  </si>
  <si>
    <t>Caixa d'água 5 mil litros</t>
  </si>
  <si>
    <t>Adaptador com flange e anel de vedação, PVC, soldável, DN 50mm x 1.1/2, instalado em reservação de água de edificação que possua reservatório de fibra/fibrocimento, fornecimento e instalação. AF_06/2016</t>
  </si>
  <si>
    <t>Adaptador com flange e anel de vedação, PVC, soldável, DN 25mm x 3/4, instalado em reservação de água de edificação que possua reservatório de fibra/fibrocimento, fornecimento e instalação. AF_06/2016</t>
  </si>
  <si>
    <t>Adaptador curto com bolsa e rosca para registro, PVC, soldável, DN 25mm x 3/4, instalado em reservação de água de edificação que possua reservatório de fibra/fibrocimento, fornecimento e instalação. AF_06/2016</t>
  </si>
  <si>
    <t>Cruzeta PVC PBA JE BBBB, para rede de água DN 50 / de 60mm</t>
  </si>
  <si>
    <t>9.6</t>
  </si>
  <si>
    <t>Joelho 90 graus, PVC, soldável, DN 25mm, instalado em ramal ou sub-ramal de água - fornecimento e instalação. AF_12/2014</t>
  </si>
  <si>
    <t>9.7</t>
  </si>
  <si>
    <t>Joelho 90 graus com bucha de latão, PVC, soldável, DN 25mm x 1/2 instalado em ramal ou sub-ramal de água - fornecimento e instalação. AF_12/2014</t>
  </si>
  <si>
    <t>9.8</t>
  </si>
  <si>
    <t>Joelho 90 graus com bucha de latãó, PVC, soldável, DN 25mm x 3/4 instalado em ramal ou sub-ramal de água - fornecimento e instalação. AF_12/2014</t>
  </si>
  <si>
    <t>9.9</t>
  </si>
  <si>
    <t>Joelho 90 graus, PVC, soldável, DN 32mm, instalado em ramal ou sub-ramal de água - fornecimento e instalação. AF_12/2014</t>
  </si>
  <si>
    <t>9.10</t>
  </si>
  <si>
    <t>Bucha de redução de PVC, soldável, curta, com 32 x 25 mm, para água fria predial</t>
  </si>
  <si>
    <t>9.11</t>
  </si>
  <si>
    <t>Tê com bucha de latão na bolsa central, PVC, soldável, DN 25mm x 1/2, instalada em prumada de água - fornecimento e instalação. AF_12/2014</t>
  </si>
  <si>
    <t>9.12</t>
  </si>
  <si>
    <t>Curva 90 graus, PVC, soldável, DN 50 mm, instalado em reservatório de água de edificação que possua reservatório de fibra/fibrocimento - fornecimento e instalação. AF_06/2016</t>
  </si>
  <si>
    <t>9.13</t>
  </si>
  <si>
    <t>Joelho PVC soldável com rosca 90º água fria 25mmx1/2" - fornecimento e instalação</t>
  </si>
  <si>
    <t>9.14</t>
  </si>
  <si>
    <t>9.15</t>
  </si>
  <si>
    <t>Bucha de redução de PVC, soldável, curta, com 50 x 40 mm, para água fria predial</t>
  </si>
  <si>
    <t>9.16</t>
  </si>
  <si>
    <t>Bucha de redução de PVC, soldável, longa, com 50 x 25 mm, para água fria predial</t>
  </si>
  <si>
    <t>9.17</t>
  </si>
  <si>
    <t>Bucha de redução de PVC, soldável, curta, com 40 x 32 mm, para água fria predial</t>
  </si>
  <si>
    <t>9.18</t>
  </si>
  <si>
    <t>Joelho 90 graus, PVC, soldável, DN 50mm, instalado em prumada de água - fornecimento e instalação. AF_12/2014</t>
  </si>
  <si>
    <t>9.19</t>
  </si>
  <si>
    <t>Joelho 90 graus, PVC, soldável, DN 40mm, instalado em prumada de água - fornecimento e instalação. AF_12/2014</t>
  </si>
  <si>
    <t>9.20</t>
  </si>
  <si>
    <t>Joelho de redução 90º de PVC, rígido, soldâvel, marrom diámetro = 32 x 25mm</t>
  </si>
  <si>
    <t>9.21</t>
  </si>
  <si>
    <t>Tê, PVC, soldável, DN 25mm, instalado em ramal ou sub-ramal de água - fornecimento e instalação. AF_12/2014</t>
  </si>
  <si>
    <t>9.22</t>
  </si>
  <si>
    <t>Tê, PVC, soldável, DN 32mm, instalado em ramal ou sub-ramal de água - fornecimento e instalação. AF_12/2014</t>
  </si>
  <si>
    <t>9.23</t>
  </si>
  <si>
    <t>Tê, PVC, soldável, DN 50 mm instalado em reservação de água de edificação que possua reservatório de fibra/fibrocimento fornecimento e instalação. AF_05/2016</t>
  </si>
  <si>
    <t>9.24</t>
  </si>
  <si>
    <t>Tê de redução, PVC, soldável, DN 32mm x 25mm, instalado em ramal ou sub-ramal de água - fornecimento e instalação. AF_12/2014</t>
  </si>
  <si>
    <t>9.25</t>
  </si>
  <si>
    <t>Tê de redução, PVC, soldável, DN 50mm x 25mm, instalado em ramal ou sub-ramal de água - fornecimento e instalação. AF_12/2014</t>
  </si>
  <si>
    <t>9.26</t>
  </si>
  <si>
    <t>Tubo, PVC, soldável, DN 25mm, instalado em ramal ou sub-ramal de água - fornecimento e instalação. AF_12/2014</t>
  </si>
  <si>
    <t>9.27</t>
  </si>
  <si>
    <t>Tê de redução, PVC, soldável, DN 50mm x 40mm, instalado em prumada de água - fornecimento e instalação. AF_12/2014</t>
  </si>
  <si>
    <t>9.28</t>
  </si>
  <si>
    <t>Tubo, PVC, soldável, DN 32mm, instalado em ramal ou sub-ramal de água - fornecimento e instalação. AF_12/2014</t>
  </si>
  <si>
    <t>9.29</t>
  </si>
  <si>
    <t>Tê de redução 90º de PVC, rígido, soldável, marrom diámetro = 50 x 32mm</t>
  </si>
  <si>
    <t>9.30</t>
  </si>
  <si>
    <t>Tubo, PVC, soldável, DN 40mm, instalado em prumada de água - fornecimento e instalação. AF_12/2014</t>
  </si>
  <si>
    <t>9.31</t>
  </si>
  <si>
    <t>Tubo, PVC, soldável, DN 50mm, instalado em prumada de água - fornecimento e instalação. AF_12/2014</t>
  </si>
  <si>
    <t>9.32</t>
  </si>
  <si>
    <t>Chuveiro elétrico comum corpo plástico tipo ducha, fornecimento e instalação</t>
  </si>
  <si>
    <t>9.33</t>
  </si>
  <si>
    <t>Registro de pressão bruto, latão, roscável, 3/4, fornecido e instalado em ramal de água. AF_12/2014</t>
  </si>
  <si>
    <t>9.34</t>
  </si>
  <si>
    <t>Registro de gaveta bruto, latão, roscável, 3/4", com acabamento e canopla, cromados, fornecido e instalado em ramal de água. AF_12/2014</t>
  </si>
  <si>
    <t>9.35</t>
  </si>
  <si>
    <t>Registro de gaveta bruto latão, roscável, 1, com acabamento e canopla cromados, instalado em reservação de água de edificação que possua reservatório de fibra/fibrocimento, fornecimento e instalação. AF_06/2016</t>
  </si>
  <si>
    <t>9.36</t>
  </si>
  <si>
    <t>Registro de gaveta bruto latão, roscável, 1.1/2, com acabamento e canopla cromados, instalado em reservação de água de edificação que possua reservatório de fibra/fibrocimento, fornecimento e instalação. AF_06/2016</t>
  </si>
  <si>
    <t>10.0</t>
  </si>
  <si>
    <t>INSTALAÇÕES SANITÁRIA</t>
  </si>
  <si>
    <t>Tubulações e Conexões em PVC</t>
  </si>
  <si>
    <t>10.1.1</t>
  </si>
  <si>
    <t>Curva 90 graus, PVC, série normal, esgoto predial, DN 40mm, junta soldável, fornecido e instalado em ramal de descarga ou ramal de esgoto sanitário. AF_12/2014</t>
  </si>
  <si>
    <t>10.1.2</t>
  </si>
  <si>
    <t>Joelho de 90° em PVC, rígido c/ anéis, para esgoto secundário, diám = 40mm</t>
  </si>
  <si>
    <t>10.1.3</t>
  </si>
  <si>
    <t>Joelho 45 graus, PVC, série normal, esgoto predial, DN 40mm, junta soldável, fornecido e instalado em ramal de descarga ou ramal de esgoto sanitário. AF_12/2014</t>
  </si>
  <si>
    <t>10.1.4</t>
  </si>
  <si>
    <t>Joelho 45 graus, PVC, série normal, esgoto predial, DN 50mm, junta elástica, fornecido e instalado em ramal de descarga ou ramal de esgoto sanitário. AF_12/2014</t>
  </si>
  <si>
    <t>10.1.5</t>
  </si>
  <si>
    <t>Joelho 45 graus, PVC, série normal, esgoto predial, DN 100mm, junta elástica, fornecido e instalado em ramal de descarga ou ramal de esgoto sanitário. AF_12/2014</t>
  </si>
  <si>
    <t>10.1.6</t>
  </si>
  <si>
    <t>Joelho 90 graus, PVC, série normal, esgoto predial, DN 100mm, junta elástica, fornecido e instalado em ramal de descarga ou ramal de esgoto sanitário. AF_12/2014</t>
  </si>
  <si>
    <t>10.1.7</t>
  </si>
  <si>
    <t>Joelho 90 graus, PVC, série normal, esgoto predial, DN 50mm, junta elástica, fornecido e instalado em ramal de descarga ou ramal de esgoto sanitário. AF_12/2014</t>
  </si>
  <si>
    <t>10.1.8</t>
  </si>
  <si>
    <t>Junção simples em PVC, rígido, soldável, para esgoto primário, diám = 100 x 100mm</t>
  </si>
  <si>
    <t>10.1.9</t>
  </si>
  <si>
    <t>Junção simples, PVC, série normal, esgoto predial, DN 50 x 50mm, junta elástica, fornecido e instalado em ramal de descarga ou ramal de esgoto sanitário. AF_12/2014</t>
  </si>
  <si>
    <t>10.1.10</t>
  </si>
  <si>
    <t>Tubo PVC, série normal, esgoto predial, DN 40mm, fornecido e instalado em ramal de descarga ou ramal de esgoto sanitário. AF_12/2014</t>
  </si>
  <si>
    <t>10.1.11</t>
  </si>
  <si>
    <t>Redução excêntrica em PVC, rígido, soldável. para esgoto primário, dlãm = 100 x 50mm</t>
  </si>
  <si>
    <t>10.1.12</t>
  </si>
  <si>
    <t>Tubo PVC, série normal, esgoto predial, DN 50mm, fornecido e instalado em ramal de descarga ou ramal de esgoto sanitário. AF_12/2014</t>
  </si>
  <si>
    <t>10.1.13</t>
  </si>
  <si>
    <t>Tubo PVC, série normal, esgoto predial, DN 75mm, fornecido e instalado em ramal de descarga ou ramal de esgoto sanitário. AF_12/2014</t>
  </si>
  <si>
    <t>10.1.14</t>
  </si>
  <si>
    <t>Tubo PVC, série normal, esgoto predial, DN 100mm, fornecido e instalado em ramal de descarga ou ramal de esgoto sanitário. AF_12/2014</t>
  </si>
  <si>
    <t>Acessórios e Complementos</t>
  </si>
  <si>
    <t>10.2.1</t>
  </si>
  <si>
    <t>Caixa de inspeção em concreto pré-moldado DN 60cm com tampa H= 60cm - fornecimento e instalação</t>
  </si>
  <si>
    <t>10.2.2</t>
  </si>
  <si>
    <t>Caixa sifonada, PVC, DN 100 x 100 x 50mm, junta elástica, fornecida e instalada em ramal de descarga ou em ramal de esgoto sanitário. AF_12/2014</t>
  </si>
  <si>
    <t>10.2.3</t>
  </si>
  <si>
    <t>Caixa de gordura • "cg" • (50 x 50 x 65cm)</t>
  </si>
  <si>
    <t>10.2.4</t>
  </si>
  <si>
    <t>Válvula em plástico 1" para pia, tanque ou lavatório, com ou sem ladrão - fornecimento e instalação. AF_12/2013</t>
  </si>
  <si>
    <t>10.2.5</t>
  </si>
  <si>
    <t>Sifão do tipo garrafa/copo em PVC 1.1/4 x 1,1/2", fornecimento e instalação. AF_12/2013</t>
  </si>
  <si>
    <t>Louças</t>
  </si>
  <si>
    <t>10.3.1</t>
  </si>
  <si>
    <t>Lavatório louça branca suspenso, 29,5 x 39cm ou equivalente, padrão popular, incluso sifão flexível em PVC, válvula e 1 engate flexível 30cm em plástico e torneira cromada de mesa, padrão popular - fornecimento e instalação. AF_12/2013</t>
  </si>
  <si>
    <t>10.3.2</t>
  </si>
  <si>
    <t>Lavatório com bancada em granito cinza andorinha, e=2cm, dim 1.00x0.60, com 01 cuba de louça de embutir, sifão ajustavel metallzado, válvula cromada, torneira cromada. inclusive rodopia 10 cm, assentada.</t>
  </si>
  <si>
    <t>10.3.3</t>
  </si>
  <si>
    <t>Bancada em aço inox - 304, L=60cm. para cubas simples, concretada, acabamento liso e polido, assentada com argamassa traço T-1(1:3). exclusive cuba, sifâo, válvula e tomeira</t>
  </si>
  <si>
    <t>10.3.4</t>
  </si>
  <si>
    <t>Bancada em granito cinza andorinha. e=2cm</t>
  </si>
  <si>
    <t>10.3.5</t>
  </si>
  <si>
    <t>Bancada de granito cinza polido 150 x 60cm, com cuba de embutir de aço inoxidável média, válvula americana em metal cromado, sifão flexível em PVC, engate flexível 30cm, torneira cromada longa de parede, 1/2 ou 3/4, para pia de cozinha, padrão popular - f</t>
  </si>
  <si>
    <t>10.3.6</t>
  </si>
  <si>
    <t>Cuba de embutir de aço inoxidável média - fornecimento e instalação. AF_12/2013</t>
  </si>
  <si>
    <t>10.3.7</t>
  </si>
  <si>
    <t>Torneira cromada tubo móvel, de mesa, 1/2" ou 3/4". Para pia de cozinha, padrão alto - fornecimento e instalação. AF_12/2013</t>
  </si>
  <si>
    <t>10.3.8</t>
  </si>
  <si>
    <t>Vaso sanitário sifonado com caixa acoplada loça branca, padrão médio, incluso engate flexível em metal cromado, 1/2 x 40cm - fornecimento e instalação. AF_12/2013</t>
  </si>
  <si>
    <t>10.3.9</t>
  </si>
  <si>
    <t>Tanque de louça branca com coluna 30L ou equivalente - fornecimento e instalação. AF_12/2013</t>
  </si>
  <si>
    <t>Sistema de Ventilação</t>
  </si>
  <si>
    <t>10.4.1</t>
  </si>
  <si>
    <t>Tubo PVC, série normal, esgoto predial, DN 75mm, fornecido e instalado em rama de descarga ou ramal de esgoto sanitário. AF_12/2014</t>
  </si>
  <si>
    <t>10.4.2</t>
  </si>
  <si>
    <t>Joelho 90 graus, PVC, série normal, esgoto predial, DN 75mm, junta elástica, fornecido e instalado em ramal de descarga ou ramal de esgoto sanitário. AF_12/2014</t>
  </si>
  <si>
    <t>10.4.3</t>
  </si>
  <si>
    <t>Terminal de ventilação em pvc rígido cl anéis, para esgoto primário, diâm = 50mm</t>
  </si>
  <si>
    <t>11.0</t>
  </si>
  <si>
    <t>INSTALAÇÕES ELÉTRICAS</t>
  </si>
  <si>
    <t>Quadro de medição trifásica em Noril com lente para leitura</t>
  </si>
  <si>
    <t>Escavação manual em solo, profundidade até 1,50 m</t>
  </si>
  <si>
    <t>Quadro de distribuição de energia de embutir, em chapa metálica, para 18 disjuntores termomagnéticos monopolares, com barramento trifásico e neutro, fornecimento e instalação</t>
  </si>
  <si>
    <t>Concreto FCK = 15MPA, traço 1:3,4:3,5 (cimento/areia média/brita 1) - preparo mecânico com betoneira 400 L. AF_07/2016</t>
  </si>
  <si>
    <t>Lançamento/aplicação manual de concreto em fundações</t>
  </si>
  <si>
    <t>Reaterro interno (edificações) compactado manualmente</t>
  </si>
  <si>
    <t>Disjuntor termomagnético monopolar padrão NEMA (americano) 10 a 30 a 240V, fornecimento e instalação</t>
  </si>
  <si>
    <t>Disjuntor termomagnético tripolar padrão NEMA (americano) 10 a 50 a 240V, fornecimento e instalação</t>
  </si>
  <si>
    <t>Disjuntor bipolar DR 25 A • Dispositivo residual diferencial, tipo AC, 30MA, ref 5SM1 312-OMB, Siemens ou similar</t>
  </si>
  <si>
    <t>Disjuntor termomagnético tripolar padrão NEMA (americano) 60 a 100 a 240V, fornecimento e instalação</t>
  </si>
  <si>
    <t>Luminária arandela tipo meia-lua para 1 lâmpada de 15W, fornecimento e instalação. AF_11/2017</t>
  </si>
  <si>
    <t>Interruptor simples (1 módulo), 10A/250V, incluindo suporte e placa - fornecimento e instalação. AF_12/2015</t>
  </si>
  <si>
    <t>Luminária tipo PLAFON, de sobrepor, com 1 lâmpada LED - fornecimento e instalação. AF_11/2017</t>
  </si>
  <si>
    <t>Interruptor simples (2 módulos), 10A/250V, incluindo suporte e placa - fornecimento e instalação. AF_12/2015</t>
  </si>
  <si>
    <t>Interruptor paralelo (1 módulo), 10A/250V, incluindo suporte e placa - fornecimento e instalação. AF_12/2015</t>
  </si>
  <si>
    <t>Interruptor simples (1 módulo) com 1 tomada de embutir 2P+T</t>
  </si>
  <si>
    <t>Tomada baixa de embutir (1 módulo) 2P+T, 10A, incluindo suporte e placa - fornecimento e instalação. AF_12/2015</t>
  </si>
  <si>
    <t>Tomada baixa de embutir (1 módulo) 2P+T, 20A, incluindo suporte e placa - fornecimento e instalação. AF_12/2015</t>
  </si>
  <si>
    <t>Tomada baixa de embutir (2 módulo) 2P+T, 10A, incluindo suporte e placa - fornecimento e instalação. AF_12/2015</t>
  </si>
  <si>
    <t>Cabo de cobre flexível isolado, 1,5mm², anti-chama 450/750 V, para circuitos terminais - fornecimento e instalação. AF_12/2015</t>
  </si>
  <si>
    <t>Cabo de cobre flexível isolado, 2,5mm², anti-chama 450/750 V, para circuitos terminais - fornecimento e instalação. AF_12/2015</t>
  </si>
  <si>
    <t>Cabo de cobre flexível isolado, 4,0mm², anti-chama 450/750 V, para circuitos terminais - fornecimento e instalação. AF_12/2015</t>
  </si>
  <si>
    <t>Cabo de cobre flexível isolado, 6,0mm², anti-chama 0,6/1 KV, para circuitos terminais - fornecimento e instalação. AF_12/2015</t>
  </si>
  <si>
    <t>Eletroduto flexível corrugado, PVC, DN 25mm (3/4"). Para circuitos terminais, instalado em forro - fornecimento e instalação. AF_12/2015</t>
  </si>
  <si>
    <t>Eletroduto flexível corrugado, PVC, DN 32mm (1"). Para circuitos terminais, instalado em forro - fornecimento e instalação. AF_12/2015</t>
  </si>
  <si>
    <t>Eletroduto rígido roscável, PVC, DN 25mm (3/4"). Para circuitos terminais, instalado em forro - fornecimento e instalação. AF_12/2015</t>
  </si>
  <si>
    <t>Eletroduto rígido roscável, PVC, DN 32mm (1"). Para circuitos terminais, instalado em forro - fornecimento e instalação. AF_12/2015</t>
  </si>
  <si>
    <t>Eletroduto rígido roscável, PVC, DN 40mm (1.1/4"). Para circuitos terminais, instalado em forro - fornecimento e instalação. AF_12/2015</t>
  </si>
  <si>
    <t>Relé fotoelétrico para comando de iluminação externa 220V/1000W - fornecimento e instalação</t>
  </si>
  <si>
    <t>Abraçadeira em aço para amarração de eletrodutos, tipo D, com 3/4" e cunha de fixação</t>
  </si>
  <si>
    <t>Abraçadeira em aço para amarração de eletrodutos, tipo D, com 1" e cunha de fixação</t>
  </si>
  <si>
    <t>Abraçadeira em aço para amarração de eletrodutos, tipo D, com 1.1/4" e cunha de fixação</t>
  </si>
  <si>
    <t>Caixa octogonal 3" x 3", PVC, instalada em laje - fornecimento e instalação. AF_12/2015</t>
  </si>
  <si>
    <t>Caixa retagular 4" x 2" alta (2,00m do piso), metálica, instalada em parede - fornecimento e instalação. AF_12/2015</t>
  </si>
  <si>
    <t>Luva para eletroduto, PVC, roscável, DN 25 mm (3/4"), para circuitos terminais, instalada em forro - fornecimento e instalação. AF_12/2015</t>
  </si>
  <si>
    <t>Luva para eletroduto, PVC, roscável, DN 32 mm (1"), para circuitos terminais, instalada em forro - fornecimento e instalação. AF_12/2015</t>
  </si>
  <si>
    <t>Caixa octogonal 4" x 4", PVC, instalada em laje - fornecimento e instalação. AF_12/2015</t>
  </si>
  <si>
    <t>Entrada de energia elétrica trifásica</t>
  </si>
  <si>
    <t>12.0</t>
  </si>
  <si>
    <t>PREVENÇÃO E COMBATE A INCÊNDIO</t>
  </si>
  <si>
    <t>Extintor incêndio água-pressurizada 10 L incusive suporte parede carga completa, fornecimento e colocação</t>
  </si>
  <si>
    <t>Extintor incêndio tipo pó químico 6KG- fornecimento e instalação</t>
  </si>
  <si>
    <t>Placas de sinalização de orientação e salvamento (saídas de emergência/rotas de fuga) - placa identificação acrílico 20x40cm • fornecimento e colocação</t>
  </si>
  <si>
    <t>Placa fotoluminescente para sinalização extitnor 30x30cm, fornecimento e colocação</t>
  </si>
  <si>
    <t>Bloco autônomo de iluminação de emergência 2x8W</t>
  </si>
  <si>
    <t>13.0</t>
  </si>
  <si>
    <t>REVESTIMENTO DE PAREDES</t>
  </si>
  <si>
    <t>Chapisco aplicado em alvenarias e estruturas de concreto internas, com colher de pedreiro. Argamassa traço 1:3 com preparo em betoneira 400 L. AF_06/2014</t>
  </si>
  <si>
    <t>Massa única, para recebimento de pintura, em argamassa traço 1:2:8, preparo mecânico com betoneira 400 L, aplicado manualmente em faces internas de paredes, espessura de 10mm, com execução de taliscas. AF_06/2014</t>
  </si>
  <si>
    <t>Revestimento cerâmico para paredes internas com placas tipo esmaltada extra de dimensões 25x35cm aplicadas em ambientes de área maior que 5 m² a meia altura das paredes. AF_06/2014</t>
  </si>
  <si>
    <t>Emboço, para recebimento de cerâmica, em argamassa traço 1:2:8, preparo manual, aplicado manualmente em faces internas de paredes, para ambiente com área maior que 10m², espessura de 10mm, com execução de taliscas. AF_06/2014</t>
  </si>
  <si>
    <t>14.0</t>
  </si>
  <si>
    <t>PAVIMENTAÇÃO</t>
  </si>
  <si>
    <t>Lastro de concreto magro, aplicado em pisos ou radiers, espessura de 5cm. AF_07/2016</t>
  </si>
  <si>
    <t>Piso em granilite, marmorite ou granitina espessura 8mm, incluso juntas de dilatação plásticas</t>
  </si>
  <si>
    <t>Execução de pátio/estacionamento em piso intertravado, com bloco retangular cor natural de 20 x 10cm, espessura 8 cm. AF_12/2015</t>
  </si>
  <si>
    <t>Execução de passeio (calçada) ou piso de concreto com concreto moldado in loco, feito em obra, acabamento convencional, não armado. AF_07/2016</t>
  </si>
  <si>
    <t>Piso podotátil de concreto - direcional e alerta. *25 x 25' cm</t>
  </si>
  <si>
    <t>Assentamento de guia (meio-fio) em trecho reto, confeccionada em concreto pré-fabricado, dimensões 100x15x13x30 cm (comprimento x base inferior x base superior x altura), para vias urbanas (uso viário), AF_06/2016</t>
  </si>
  <si>
    <t>15.0</t>
  </si>
  <si>
    <t>Paredes</t>
  </si>
  <si>
    <t>15.1.1</t>
  </si>
  <si>
    <t>Aplicação de fundo selador acrílico em paredes, uma demão. AF_06/2014</t>
  </si>
  <si>
    <t>15.1.2</t>
  </si>
  <si>
    <t>Aplicação e lixamento de massa látex em paredes, duas demãos. AF_06/2014</t>
  </si>
  <si>
    <t>15.1.3</t>
  </si>
  <si>
    <t>Aplicação manual de pintura com tinta látex acrílica, duas demãos. AF_06/2014</t>
  </si>
  <si>
    <t>Esquadrias</t>
  </si>
  <si>
    <t>15.2.1</t>
  </si>
  <si>
    <t>Pintura esmalte alto brilho, duas demãos, sobre superfície metálica</t>
  </si>
  <si>
    <t>Pintura esmalte acetinado em madeira, duas demãos</t>
  </si>
  <si>
    <t>16.0</t>
  </si>
  <si>
    <t>SERVIÇOS FINAIS</t>
  </si>
  <si>
    <t>Plantio de grama esmeralda em rolo</t>
  </si>
  <si>
    <t>Plantio de árvore ornamental com altura de muda maior que 2,00m e menor ou igual a 4,00m. AF_05/2018</t>
  </si>
  <si>
    <t>Limpeza final da obra</t>
  </si>
  <si>
    <t xml:space="preserve">TOTAL </t>
  </si>
  <si>
    <t>=</t>
  </si>
  <si>
    <t>4.4.5</t>
  </si>
  <si>
    <t>4.4.6</t>
  </si>
  <si>
    <t xml:space="preserve">Verga pré-moldada para janelas com mais de 1,5m de vão. </t>
  </si>
  <si>
    <t xml:space="preserve">Contraverga pré-moldada com mais de1,5m de comprimento. </t>
  </si>
  <si>
    <t>4.3.8</t>
  </si>
  <si>
    <t>4.3.9</t>
  </si>
  <si>
    <t xml:space="preserve">Armação de laje de uma estrutura convencional de concreto armado em uma edificação térrea ou sobrado utilizando aço CA-60 de 5,0 mm - montagem, </t>
  </si>
  <si>
    <t xml:space="preserve">Armação de laje de uma estrutura convencional de concreto armado em uma edificação térrea ou sobrado utilizando aço CA-50 de 6.3 mm - montagem, </t>
  </si>
  <si>
    <t xml:space="preserve"> </t>
  </si>
  <si>
    <t>Vigas Superiores(Térreo, Platibanda e Caixa D'água)</t>
  </si>
  <si>
    <t>Porta em madeira de lei, de correr, LIsa, semi-oca 0,90x2,10m, inclusive batentes e ferragens</t>
  </si>
  <si>
    <t>Porta em madeira compensada (canela), lisa, semi-oca, 2,00 x 2,10 m, com duas folhas, inclusive batentes e ferragens</t>
  </si>
  <si>
    <t>01/04/2023 a 15/07/2023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</si>
</sst>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  <numFmt numFmtId="166" formatCode="00"/>
    <numFmt numFmtId="167" formatCode="_(* #,##0.00_);_(* \(#,##0.00\);_(* &quot;-&quot;??_);_(@_)"/>
    <numFmt numFmtId="168" formatCode="&quot;R$&quot;\ #,##0.00"/>
    <numFmt numFmtId="169" formatCode="#,##0.00_ ;\-#,##0.00\ "/>
  </numFmts>
  <fonts count="44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4"/>
      <color indexed="10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4"/>
      <color indexed="62"/>
      <name val="Calibri"/>
      <family val="2"/>
    </font>
    <font>
      <sz val="11"/>
      <color indexed="62"/>
      <name val="Calibri"/>
      <family val="2"/>
    </font>
    <font>
      <sz val="14"/>
      <color indexed="54"/>
      <name val="Calibri"/>
      <family val="2"/>
    </font>
    <font>
      <b/>
      <sz val="13"/>
      <color indexed="62"/>
      <name val="Calibri"/>
      <family val="2"/>
    </font>
    <font>
      <sz val="13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b/>
      <sz val="18"/>
      <color indexed="10"/>
      <name val="Arial"/>
      <family val="2"/>
    </font>
    <font>
      <b/>
      <i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4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5" fillId="0" borderId="0"/>
    <xf numFmtId="0" fontId="3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ill="0" applyBorder="0" applyAlignment="0" applyProtection="0"/>
    <xf numFmtId="167" fontId="4" fillId="0" borderId="0" applyFont="0" applyFill="0" applyBorder="0" applyAlignment="0" applyProtection="0"/>
  </cellStyleXfs>
  <cellXfs count="548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43" fontId="6" fillId="3" borderId="0" xfId="11" applyFont="1" applyFill="1" applyBorder="1" applyAlignment="1">
      <alignment vertical="center" wrapText="1"/>
    </xf>
    <xf numFmtId="43" fontId="3" fillId="3" borderId="0" xfId="11" applyFont="1" applyFill="1" applyBorder="1" applyAlignment="1">
      <alignment horizontal="left" vertical="center" wrapText="1"/>
    </xf>
    <xf numFmtId="43" fontId="3" fillId="4" borderId="0" xfId="11" applyFont="1" applyFill="1" applyBorder="1" applyAlignment="1">
      <alignment horizontal="center" vertical="center" wrapText="1"/>
    </xf>
    <xf numFmtId="43" fontId="3" fillId="4" borderId="0" xfId="11" applyFont="1" applyFill="1" applyBorder="1" applyAlignment="1">
      <alignment horizontal="left" vertical="center" wrapText="1"/>
    </xf>
    <xf numFmtId="43" fontId="6" fillId="3" borderId="0" xfId="11" applyFont="1" applyFill="1" applyAlignment="1">
      <alignment vertical="center" wrapText="1"/>
    </xf>
    <xf numFmtId="43" fontId="4" fillId="3" borderId="0" xfId="11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0" xfId="0" applyFont="1" applyFill="1" applyAlignment="1">
      <alignment vertical="center" wrapText="1"/>
    </xf>
    <xf numFmtId="44" fontId="3" fillId="3" borderId="0" xfId="3" applyFont="1" applyFill="1" applyBorder="1" applyAlignment="1">
      <alignment vertical="center" wrapText="1"/>
    </xf>
    <xf numFmtId="10" fontId="4" fillId="3" borderId="1" xfId="8" applyNumberFormat="1" applyFont="1" applyFill="1" applyBorder="1" applyAlignment="1" applyProtection="1">
      <alignment horizontal="center" vertical="center" wrapText="1"/>
      <protection locked="0" hidden="1"/>
    </xf>
    <xf numFmtId="14" fontId="3" fillId="3" borderId="0" xfId="0" applyNumberFormat="1" applyFont="1" applyFill="1" applyAlignment="1" applyProtection="1">
      <alignment vertical="center" wrapText="1"/>
      <protection locked="0" hidden="1"/>
    </xf>
    <xf numFmtId="0" fontId="4" fillId="3" borderId="0" xfId="0" applyFont="1" applyFill="1" applyAlignment="1" applyProtection="1">
      <alignment vertical="center" wrapText="1"/>
      <protection hidden="1"/>
    </xf>
    <xf numFmtId="10" fontId="3" fillId="3" borderId="0" xfId="8" applyNumberFormat="1" applyFont="1" applyFill="1" applyBorder="1" applyAlignment="1">
      <alignment vertical="center" wrapText="1"/>
    </xf>
    <xf numFmtId="44" fontId="3" fillId="3" borderId="0" xfId="0" applyNumberFormat="1" applyFont="1" applyFill="1" applyAlignment="1" applyProtection="1">
      <alignment vertical="center" wrapText="1"/>
      <protection hidden="1"/>
    </xf>
    <xf numFmtId="10" fontId="3" fillId="3" borderId="1" xfId="8" applyNumberFormat="1" applyFont="1" applyFill="1" applyBorder="1" applyAlignment="1" applyProtection="1">
      <alignment horizontal="center" vertical="center" wrapText="1"/>
    </xf>
    <xf numFmtId="43" fontId="3" fillId="3" borderId="1" xfId="1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43" fontId="4" fillId="2" borderId="1" xfId="11" applyFont="1" applyFill="1" applyBorder="1" applyAlignment="1">
      <alignment vertical="center" wrapText="1"/>
    </xf>
    <xf numFmtId="44" fontId="4" fillId="2" borderId="1" xfId="3" applyFont="1" applyFill="1" applyBorder="1" applyAlignment="1">
      <alignment horizontal="right" vertical="center" wrapText="1"/>
    </xf>
    <xf numFmtId="44" fontId="3" fillId="2" borderId="1" xfId="3" applyFont="1" applyFill="1" applyBorder="1" applyAlignment="1">
      <alignment vertical="center" wrapText="1"/>
    </xf>
    <xf numFmtId="10" fontId="3" fillId="2" borderId="1" xfId="8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4" fillId="3" borderId="1" xfId="11" applyFont="1" applyFill="1" applyBorder="1" applyAlignment="1">
      <alignment horizontal="right" vertical="center" wrapText="1"/>
    </xf>
    <xf numFmtId="44" fontId="4" fillId="3" borderId="1" xfId="3" applyFont="1" applyFill="1" applyBorder="1" applyAlignment="1">
      <alignment horizontal="right" vertical="center" wrapText="1"/>
    </xf>
    <xf numFmtId="44" fontId="4" fillId="3" borderId="1" xfId="3" applyFont="1" applyFill="1" applyBorder="1" applyAlignment="1">
      <alignment vertical="center" wrapText="1"/>
    </xf>
    <xf numFmtId="10" fontId="4" fillId="3" borderId="1" xfId="8" applyNumberFormat="1" applyFont="1" applyFill="1" applyBorder="1" applyAlignment="1">
      <alignment vertical="center" wrapText="1"/>
    </xf>
    <xf numFmtId="10" fontId="4" fillId="3" borderId="1" xfId="1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4" fontId="3" fillId="2" borderId="1" xfId="3" applyFont="1" applyFill="1" applyBorder="1" applyAlignment="1">
      <alignment horizontal="right" vertical="center" wrapText="1"/>
    </xf>
    <xf numFmtId="10" fontId="3" fillId="2" borderId="1" xfId="8" applyNumberFormat="1" applyFont="1" applyFill="1" applyBorder="1" applyAlignment="1">
      <alignment horizontal="right" vertical="center" wrapText="1"/>
    </xf>
    <xf numFmtId="44" fontId="3" fillId="2" borderId="1" xfId="3" applyFont="1" applyFill="1" applyBorder="1" applyAlignment="1">
      <alignment horizontal="center" vertical="center" wrapText="1"/>
    </xf>
    <xf numFmtId="14" fontId="3" fillId="3" borderId="1" xfId="11" applyNumberFormat="1" applyFont="1" applyFill="1" applyBorder="1" applyAlignment="1" applyProtection="1">
      <alignment horizontal="center" vertical="center" wrapText="1"/>
      <protection locked="0"/>
    </xf>
    <xf numFmtId="44" fontId="3" fillId="3" borderId="1" xfId="3" applyFont="1" applyFill="1" applyBorder="1" applyAlignment="1" applyProtection="1">
      <alignment horizontal="center" vertical="center" wrapText="1"/>
    </xf>
    <xf numFmtId="14" fontId="3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3" borderId="2" xfId="11" applyFont="1" applyFill="1" applyBorder="1" applyAlignment="1" applyProtection="1">
      <alignment horizontal="center" vertical="center"/>
      <protection locked="0"/>
    </xf>
    <xf numFmtId="43" fontId="3" fillId="3" borderId="2" xfId="11" applyFont="1" applyFill="1" applyBorder="1" applyAlignment="1" applyProtection="1">
      <alignment horizontal="center" vertical="center"/>
      <protection locked="0" hidden="1"/>
    </xf>
    <xf numFmtId="43" fontId="3" fillId="3" borderId="0" xfId="11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hidden="1"/>
    </xf>
    <xf numFmtId="14" fontId="4" fillId="3" borderId="1" xfId="0" applyNumberFormat="1" applyFont="1" applyFill="1" applyBorder="1" applyAlignment="1" applyProtection="1">
      <alignment vertical="center"/>
      <protection locked="0" hidden="1"/>
    </xf>
    <xf numFmtId="44" fontId="4" fillId="3" borderId="1" xfId="3" applyFont="1" applyFill="1" applyBorder="1" applyAlignment="1" applyProtection="1">
      <alignment vertical="center"/>
      <protection locked="0" hidden="1"/>
    </xf>
    <xf numFmtId="43" fontId="3" fillId="2" borderId="1" xfId="1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43" fontId="4" fillId="3" borderId="1" xfId="11" applyFont="1" applyFill="1" applyBorder="1" applyAlignment="1">
      <alignment horizontal="right" wrapText="1"/>
    </xf>
    <xf numFmtId="44" fontId="4" fillId="3" borderId="1" xfId="3" applyFont="1" applyFill="1" applyBorder="1" applyAlignment="1">
      <alignment horizontal="right" wrapText="1"/>
    </xf>
    <xf numFmtId="44" fontId="4" fillId="3" borderId="1" xfId="3" applyFont="1" applyFill="1" applyBorder="1" applyAlignment="1"/>
    <xf numFmtId="43" fontId="4" fillId="3" borderId="1" xfId="11" applyFont="1" applyFill="1" applyBorder="1" applyAlignment="1"/>
    <xf numFmtId="43" fontId="4" fillId="2" borderId="1" xfId="11" applyFont="1" applyFill="1" applyBorder="1" applyAlignment="1">
      <alignment wrapText="1"/>
    </xf>
    <xf numFmtId="44" fontId="4" fillId="2" borderId="1" xfId="3" applyFont="1" applyFill="1" applyBorder="1" applyAlignment="1">
      <alignment horizontal="right" wrapText="1"/>
    </xf>
    <xf numFmtId="44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/>
    <xf numFmtId="43" fontId="4" fillId="2" borderId="1" xfId="11" applyFont="1" applyFill="1" applyBorder="1" applyAlignment="1"/>
    <xf numFmtId="44" fontId="3" fillId="2" borderId="1" xfId="3" applyFont="1" applyFill="1" applyBorder="1" applyAlignment="1"/>
    <xf numFmtId="0" fontId="3" fillId="2" borderId="0" xfId="0" applyFont="1" applyFill="1" applyAlignment="1">
      <alignment horizontal="center" vertical="center"/>
    </xf>
    <xf numFmtId="43" fontId="3" fillId="2" borderId="1" xfId="11" applyFont="1" applyFill="1" applyBorder="1" applyAlignment="1"/>
    <xf numFmtId="43" fontId="4" fillId="2" borderId="1" xfId="11" applyFont="1" applyFill="1" applyBorder="1" applyAlignment="1">
      <alignment vertical="center"/>
    </xf>
    <xf numFmtId="14" fontId="4" fillId="3" borderId="1" xfId="0" applyNumberFormat="1" applyFont="1" applyFill="1" applyBorder="1" applyAlignment="1" applyProtection="1">
      <alignment vertical="center" wrapText="1"/>
      <protection locked="0" hidden="1"/>
    </xf>
    <xf numFmtId="44" fontId="4" fillId="3" borderId="1" xfId="3" applyFont="1" applyFill="1" applyBorder="1" applyAlignment="1" applyProtection="1">
      <alignment vertical="center" wrapText="1"/>
      <protection locked="0" hidden="1"/>
    </xf>
    <xf numFmtId="43" fontId="4" fillId="3" borderId="1" xfId="11" applyFont="1" applyFill="1" applyBorder="1" applyAlignment="1" applyProtection="1">
      <alignment vertical="center"/>
      <protection locked="0" hidden="1"/>
    </xf>
    <xf numFmtId="43" fontId="3" fillId="2" borderId="1" xfId="11" applyFont="1" applyFill="1" applyBorder="1" applyAlignment="1">
      <alignment horizontal="right" wrapText="1"/>
    </xf>
    <xf numFmtId="43" fontId="4" fillId="3" borderId="0" xfId="11" applyFont="1" applyFill="1" applyBorder="1" applyAlignment="1">
      <alignment horizontal="center" vertical="center" wrapText="1"/>
    </xf>
    <xf numFmtId="43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43" fontId="4" fillId="3" borderId="0" xfId="11" applyFont="1" applyFill="1" applyBorder="1" applyAlignment="1">
      <alignment vertical="center" wrapText="1"/>
    </xf>
    <xf numFmtId="9" fontId="4" fillId="3" borderId="0" xfId="8" applyFont="1" applyFill="1" applyBorder="1" applyAlignment="1">
      <alignment vertical="center" wrapText="1"/>
    </xf>
    <xf numFmtId="43" fontId="4" fillId="3" borderId="0" xfId="11" applyFont="1" applyFill="1" applyBorder="1"/>
    <xf numFmtId="0" fontId="4" fillId="3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4" fillId="3" borderId="0" xfId="0" applyFont="1" applyFill="1" applyAlignment="1">
      <alignment vertical="center"/>
    </xf>
    <xf numFmtId="43" fontId="4" fillId="3" borderId="0" xfId="11" applyFont="1" applyFill="1" applyAlignment="1">
      <alignment vertical="center" wrapText="1"/>
    </xf>
    <xf numFmtId="44" fontId="4" fillId="3" borderId="0" xfId="3" applyFont="1" applyFill="1" applyAlignment="1">
      <alignment vertical="center" wrapText="1"/>
    </xf>
    <xf numFmtId="44" fontId="4" fillId="3" borderId="0" xfId="3" applyFont="1" applyFill="1" applyBorder="1" applyAlignment="1">
      <alignment vertical="center" wrapText="1"/>
    </xf>
    <xf numFmtId="43" fontId="4" fillId="3" borderId="0" xfId="11" applyFont="1" applyFill="1"/>
    <xf numFmtId="10" fontId="4" fillId="3" borderId="0" xfId="8" applyNumberFormat="1" applyFont="1" applyFill="1" applyAlignment="1">
      <alignment vertical="center" wrapText="1"/>
    </xf>
    <xf numFmtId="43" fontId="4" fillId="3" borderId="1" xfId="11" applyFont="1" applyFill="1" applyBorder="1" applyAlignment="1">
      <alignment vertical="center" wrapText="1"/>
    </xf>
    <xf numFmtId="43" fontId="4" fillId="3" borderId="3" xfId="11" applyFont="1" applyFill="1" applyBorder="1"/>
    <xf numFmtId="43" fontId="4" fillId="3" borderId="0" xfId="11" applyFont="1" applyFill="1" applyBorder="1" applyAlignment="1">
      <alignment horizontal="center" vertical="center"/>
    </xf>
    <xf numFmtId="43" fontId="4" fillId="3" borderId="2" xfId="11" applyFont="1" applyFill="1" applyBorder="1" applyAlignment="1" applyProtection="1">
      <alignment horizontal="center" vertical="center"/>
      <protection locked="0" hidden="1"/>
    </xf>
    <xf numFmtId="43" fontId="3" fillId="5" borderId="1" xfId="11" applyFont="1" applyFill="1" applyBorder="1" applyAlignment="1" applyProtection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43" fontId="3" fillId="3" borderId="1" xfId="11" applyFont="1" applyFill="1" applyBorder="1" applyAlignment="1">
      <alignment vertical="center"/>
    </xf>
    <xf numFmtId="43" fontId="3" fillId="3" borderId="1" xfId="11" applyFont="1" applyFill="1" applyBorder="1" applyAlignment="1"/>
    <xf numFmtId="43" fontId="3" fillId="3" borderId="1" xfId="11" applyFont="1" applyFill="1" applyBorder="1" applyAlignment="1">
      <alignment horizontal="right" wrapText="1"/>
    </xf>
    <xf numFmtId="44" fontId="3" fillId="2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/>
    <xf numFmtId="44" fontId="1" fillId="3" borderId="1" xfId="3" applyFont="1" applyFill="1" applyBorder="1"/>
    <xf numFmtId="0" fontId="1" fillId="3" borderId="0" xfId="0" applyFont="1" applyFill="1"/>
    <xf numFmtId="44" fontId="1" fillId="3" borderId="0" xfId="3" applyFont="1" applyFill="1"/>
    <xf numFmtId="0" fontId="12" fillId="3" borderId="1" xfId="0" applyFont="1" applyFill="1" applyBorder="1"/>
    <xf numFmtId="44" fontId="12" fillId="3" borderId="1" xfId="3" applyFont="1" applyFill="1" applyBorder="1"/>
    <xf numFmtId="0" fontId="11" fillId="3" borderId="1" xfId="0" applyFont="1" applyFill="1" applyBorder="1"/>
    <xf numFmtId="44" fontId="11" fillId="3" borderId="1" xfId="3" applyFont="1" applyFill="1" applyBorder="1"/>
    <xf numFmtId="0" fontId="10" fillId="3" borderId="1" xfId="0" applyFont="1" applyFill="1" applyBorder="1"/>
    <xf numFmtId="44" fontId="10" fillId="3" borderId="1" xfId="3" applyFont="1" applyFill="1" applyBorder="1"/>
    <xf numFmtId="0" fontId="14" fillId="3" borderId="1" xfId="0" applyFont="1" applyFill="1" applyBorder="1"/>
    <xf numFmtId="44" fontId="14" fillId="3" borderId="1" xfId="3" applyFont="1" applyFill="1" applyBorder="1"/>
    <xf numFmtId="0" fontId="15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6" fillId="3" borderId="1" xfId="0" applyFont="1" applyFill="1" applyBorder="1"/>
    <xf numFmtId="44" fontId="16" fillId="3" borderId="1" xfId="3" applyFont="1" applyFill="1" applyBorder="1"/>
    <xf numFmtId="43" fontId="4" fillId="3" borderId="0" xfId="11" applyFont="1" applyFill="1" applyBorder="1" applyAlignment="1">
      <alignment horizontal="right" wrapText="1"/>
    </xf>
    <xf numFmtId="0" fontId="3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10" fontId="3" fillId="3" borderId="0" xfId="8" applyNumberFormat="1" applyFont="1" applyFill="1" applyBorder="1" applyAlignment="1">
      <alignment horizontal="right" vertical="center" wrapText="1"/>
    </xf>
    <xf numFmtId="43" fontId="4" fillId="3" borderId="5" xfId="1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4" fontId="0" fillId="3" borderId="0" xfId="0" applyNumberFormat="1" applyFill="1"/>
    <xf numFmtId="0" fontId="17" fillId="2" borderId="1" xfId="0" applyFont="1" applyFill="1" applyBorder="1"/>
    <xf numFmtId="44" fontId="17" fillId="2" borderId="1" xfId="3" applyFont="1" applyFill="1" applyBorder="1"/>
    <xf numFmtId="44" fontId="18" fillId="3" borderId="0" xfId="0" applyNumberFormat="1" applyFont="1" applyFill="1"/>
    <xf numFmtId="0" fontId="18" fillId="3" borderId="0" xfId="0" applyFont="1" applyFill="1"/>
    <xf numFmtId="10" fontId="4" fillId="3" borderId="1" xfId="3" applyNumberFormat="1" applyFont="1" applyFill="1" applyBorder="1" applyAlignment="1" applyProtection="1">
      <alignment vertical="center"/>
      <protection locked="0" hidden="1"/>
    </xf>
    <xf numFmtId="10" fontId="3" fillId="2" borderId="1" xfId="3" applyNumberFormat="1" applyFont="1" applyFill="1" applyBorder="1" applyAlignment="1">
      <alignment vertical="center"/>
    </xf>
    <xf numFmtId="10" fontId="3" fillId="2" borderId="1" xfId="3" applyNumberFormat="1" applyFont="1" applyFill="1" applyBorder="1" applyAlignment="1"/>
    <xf numFmtId="10" fontId="4" fillId="2" borderId="1" xfId="8" applyNumberFormat="1" applyFont="1" applyFill="1" applyBorder="1" applyAlignment="1">
      <alignment vertical="center" wrapText="1"/>
    </xf>
    <xf numFmtId="10" fontId="4" fillId="3" borderId="0" xfId="3" applyNumberFormat="1" applyFont="1" applyFill="1" applyAlignment="1">
      <alignment vertical="center" wrapText="1"/>
    </xf>
    <xf numFmtId="0" fontId="4" fillId="3" borderId="0" xfId="0" applyFont="1" applyFill="1" applyAlignment="1">
      <alignment horizontal="center" wrapText="1"/>
    </xf>
    <xf numFmtId="43" fontId="3" fillId="0" borderId="1" xfId="1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hidden="1"/>
    </xf>
    <xf numFmtId="43" fontId="3" fillId="3" borderId="0" xfId="11" applyFont="1" applyFill="1" applyAlignment="1" applyProtection="1">
      <alignment horizontal="center" vertical="center"/>
      <protection hidden="1"/>
    </xf>
    <xf numFmtId="10" fontId="3" fillId="3" borderId="0" xfId="8" applyNumberFormat="1" applyFont="1" applyFill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4" fontId="4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3" borderId="1" xfId="3" applyFont="1" applyFill="1" applyBorder="1" applyAlignment="1">
      <alignment horizontal="center" vertical="center" wrapText="1"/>
    </xf>
    <xf numFmtId="44" fontId="4" fillId="3" borderId="1" xfId="3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44" fontId="4" fillId="3" borderId="0" xfId="3" applyFont="1" applyFill="1" applyAlignment="1">
      <alignment horizontal="center" vertical="center" wrapText="1"/>
    </xf>
    <xf numFmtId="43" fontId="4" fillId="3" borderId="1" xfId="11" applyFont="1" applyFill="1" applyBorder="1" applyAlignment="1" applyProtection="1">
      <alignment horizontal="left" vertical="center" wrapText="1"/>
      <protection hidden="1"/>
    </xf>
    <xf numFmtId="43" fontId="3" fillId="3" borderId="1" xfId="11" applyFont="1" applyFill="1" applyBorder="1" applyAlignment="1" applyProtection="1">
      <alignment horizontal="left" vertical="center" wrapText="1"/>
      <protection locked="0"/>
    </xf>
    <xf numFmtId="43" fontId="3" fillId="3" borderId="1" xfId="11" applyFont="1" applyFill="1" applyBorder="1" applyAlignment="1">
      <alignment horizontal="left" vertical="center" wrapText="1"/>
    </xf>
    <xf numFmtId="44" fontId="4" fillId="3" borderId="1" xfId="3" applyFont="1" applyFill="1" applyBorder="1" applyAlignment="1" applyProtection="1">
      <alignment horizontal="center" vertical="center"/>
      <protection locked="0" hidden="1"/>
    </xf>
    <xf numFmtId="44" fontId="3" fillId="2" borderId="1" xfId="3" applyFont="1" applyFill="1" applyBorder="1" applyAlignment="1">
      <alignment horizontal="center" vertical="center"/>
    </xf>
    <xf numFmtId="44" fontId="3" fillId="2" borderId="1" xfId="3" applyFont="1" applyFill="1" applyBorder="1" applyAlignment="1">
      <alignment horizontal="center"/>
    </xf>
    <xf numFmtId="0" fontId="36" fillId="0" borderId="0" xfId="2" applyAlignment="1">
      <alignment horizontal="center"/>
    </xf>
    <xf numFmtId="0" fontId="36" fillId="3" borderId="0" xfId="2" applyFill="1" applyAlignment="1">
      <alignment horizontal="center" vertical="center" wrapText="1"/>
    </xf>
    <xf numFmtId="44" fontId="3" fillId="3" borderId="5" xfId="3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vertical="center" wrapText="1"/>
    </xf>
    <xf numFmtId="43" fontId="4" fillId="2" borderId="4" xfId="11" applyFont="1" applyFill="1" applyBorder="1" applyAlignment="1">
      <alignment vertical="center" wrapText="1"/>
    </xf>
    <xf numFmtId="44" fontId="4" fillId="2" borderId="4" xfId="3" applyFont="1" applyFill="1" applyBorder="1" applyAlignment="1">
      <alignment horizontal="right" vertical="center" wrapText="1"/>
    </xf>
    <xf numFmtId="44" fontId="3" fillId="2" borderId="4" xfId="3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vertical="center" wrapText="1"/>
    </xf>
    <xf numFmtId="43" fontId="4" fillId="2" borderId="2" xfId="11" applyFont="1" applyFill="1" applyBorder="1" applyAlignment="1">
      <alignment vertical="center" wrapText="1"/>
    </xf>
    <xf numFmtId="44" fontId="4" fillId="2" borderId="2" xfId="3" applyFont="1" applyFill="1" applyBorder="1" applyAlignment="1">
      <alignment horizontal="right" vertical="center" wrapText="1"/>
    </xf>
    <xf numFmtId="44" fontId="3" fillId="2" borderId="2" xfId="3" applyFont="1" applyFill="1" applyBorder="1" applyAlignment="1">
      <alignment vertical="center" wrapText="1"/>
    </xf>
    <xf numFmtId="0" fontId="4" fillId="3" borderId="5" xfId="0" applyFont="1" applyFill="1" applyBorder="1" applyAlignment="1" applyProtection="1">
      <alignment vertical="center"/>
      <protection hidden="1"/>
    </xf>
    <xf numFmtId="44" fontId="4" fillId="3" borderId="5" xfId="3" applyFont="1" applyFill="1" applyBorder="1" applyAlignment="1">
      <alignment horizontal="right" wrapText="1"/>
    </xf>
    <xf numFmtId="44" fontId="4" fillId="3" borderId="5" xfId="3" applyFont="1" applyFill="1" applyBorder="1" applyAlignment="1" applyProtection="1">
      <alignment horizontal="center" vertical="center"/>
      <protection locked="0" hidden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wrapText="1"/>
    </xf>
    <xf numFmtId="44" fontId="4" fillId="3" borderId="5" xfId="3" applyFont="1" applyFill="1" applyBorder="1" applyAlignment="1">
      <alignment horizontal="center"/>
    </xf>
    <xf numFmtId="44" fontId="4" fillId="3" borderId="5" xfId="3" applyFont="1" applyFill="1" applyBorder="1" applyAlignment="1">
      <alignment horizontal="right" vertical="center" wrapText="1"/>
    </xf>
    <xf numFmtId="44" fontId="4" fillId="3" borderId="5" xfId="3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wrapText="1"/>
    </xf>
    <xf numFmtId="44" fontId="4" fillId="3" borderId="3" xfId="3" applyFont="1" applyFill="1" applyBorder="1" applyAlignment="1">
      <alignment horizontal="right" wrapText="1"/>
    </xf>
    <xf numFmtId="44" fontId="4" fillId="3" borderId="3" xfId="3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wrapText="1"/>
    </xf>
    <xf numFmtId="44" fontId="4" fillId="3" borderId="4" xfId="3" applyFont="1" applyFill="1" applyBorder="1" applyAlignment="1">
      <alignment horizontal="right" wrapText="1"/>
    </xf>
    <xf numFmtId="44" fontId="4" fillId="3" borderId="4" xfId="3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vertical="center"/>
      <protection hidden="1"/>
    </xf>
    <xf numFmtId="44" fontId="4" fillId="3" borderId="4" xfId="3" applyFont="1" applyFill="1" applyBorder="1" applyAlignment="1" applyProtection="1">
      <alignment horizontal="center" vertical="center"/>
      <protection locked="0" hidden="1"/>
    </xf>
    <xf numFmtId="0" fontId="4" fillId="3" borderId="3" xfId="0" applyFont="1" applyFill="1" applyBorder="1" applyAlignment="1" applyProtection="1">
      <alignment vertical="center" wrapText="1"/>
      <protection hidden="1"/>
    </xf>
    <xf numFmtId="44" fontId="4" fillId="3" borderId="3" xfId="3" applyFont="1" applyFill="1" applyBorder="1" applyAlignment="1">
      <alignment horizontal="right" vertical="center" wrapText="1"/>
    </xf>
    <xf numFmtId="44" fontId="4" fillId="3" borderId="3" xfId="3" applyFont="1" applyFill="1" applyBorder="1" applyAlignment="1" applyProtection="1">
      <alignment horizontal="center" vertical="center" wrapText="1"/>
      <protection locked="0" hidden="1"/>
    </xf>
    <xf numFmtId="0" fontId="4" fillId="3" borderId="3" xfId="0" applyFont="1" applyFill="1" applyBorder="1" applyAlignment="1" applyProtection="1">
      <alignment vertical="center"/>
      <protection hidden="1"/>
    </xf>
    <xf numFmtId="44" fontId="4" fillId="3" borderId="3" xfId="3" applyFont="1" applyFill="1" applyBorder="1" applyAlignment="1" applyProtection="1">
      <alignment vertical="center"/>
      <protection locked="0" hidden="1"/>
    </xf>
    <xf numFmtId="44" fontId="4" fillId="3" borderId="3" xfId="3" applyFont="1" applyFill="1" applyBorder="1" applyAlignment="1" applyProtection="1">
      <alignment horizontal="center" vertical="center"/>
      <protection locked="0" hidden="1"/>
    </xf>
    <xf numFmtId="44" fontId="4" fillId="3" borderId="4" xfId="3" applyFont="1" applyFill="1" applyBorder="1" applyAlignment="1">
      <alignment horizontal="right" vertical="center" wrapText="1"/>
    </xf>
    <xf numFmtId="44" fontId="4" fillId="3" borderId="4" xfId="3" applyFont="1" applyFill="1" applyBorder="1" applyAlignment="1">
      <alignment horizontal="center" vertical="center" wrapText="1"/>
    </xf>
    <xf numFmtId="44" fontId="4" fillId="3" borderId="3" xfId="3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vertical="center" wrapText="1"/>
      <protection hidden="1"/>
    </xf>
    <xf numFmtId="43" fontId="3" fillId="3" borderId="0" xfId="11" applyFont="1" applyFill="1" applyAlignment="1" applyProtection="1">
      <alignment vertical="center" wrapText="1"/>
      <protection hidden="1"/>
    </xf>
    <xf numFmtId="167" fontId="4" fillId="3" borderId="0" xfId="11" applyNumberFormat="1" applyFont="1" applyFill="1" applyBorder="1" applyAlignment="1">
      <alignment horizontal="right" vertical="center"/>
    </xf>
    <xf numFmtId="43" fontId="3" fillId="3" borderId="0" xfId="11" applyFont="1" applyFill="1" applyBorder="1" applyAlignment="1">
      <alignment horizontal="center" vertical="center" wrapText="1"/>
    </xf>
    <xf numFmtId="10" fontId="4" fillId="3" borderId="0" xfId="8" applyNumberFormat="1" applyFont="1" applyFill="1" applyBorder="1" applyAlignment="1">
      <alignment horizontal="right" vertical="center"/>
    </xf>
    <xf numFmtId="43" fontId="3" fillId="3" borderId="0" xfId="1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43" fontId="3" fillId="3" borderId="8" xfId="11" applyFont="1" applyFill="1" applyBorder="1" applyAlignment="1">
      <alignment horizontal="right" vertical="center" wrapText="1"/>
    </xf>
    <xf numFmtId="44" fontId="3" fillId="3" borderId="8" xfId="3" applyFont="1" applyFill="1" applyBorder="1" applyAlignment="1">
      <alignment horizontal="center" vertical="center" wrapText="1"/>
    </xf>
    <xf numFmtId="43" fontId="3" fillId="6" borderId="1" xfId="11" applyFont="1" applyFill="1" applyBorder="1" applyAlignment="1" applyProtection="1">
      <alignment horizontal="center" vertical="center" wrapText="1"/>
    </xf>
    <xf numFmtId="43" fontId="21" fillId="3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44" fontId="21" fillId="2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 hidden="1"/>
    </xf>
    <xf numFmtId="10" fontId="4" fillId="0" borderId="1" xfId="8" applyNumberFormat="1" applyFont="1" applyFill="1" applyBorder="1" applyAlignment="1" applyProtection="1">
      <alignment horizontal="center" vertical="center" wrapText="1"/>
      <protection locked="0" hidden="1"/>
    </xf>
    <xf numFmtId="14" fontId="3" fillId="0" borderId="1" xfId="0" applyNumberFormat="1" applyFont="1" applyBorder="1" applyAlignment="1" applyProtection="1">
      <alignment horizontal="center" vertical="center" wrapText="1"/>
      <protection locked="0" hidden="1"/>
    </xf>
    <xf numFmtId="43" fontId="3" fillId="0" borderId="8" xfId="11" applyFont="1" applyFill="1" applyBorder="1" applyAlignment="1">
      <alignment horizontal="center" vertical="center" wrapText="1"/>
    </xf>
    <xf numFmtId="43" fontId="4" fillId="0" borderId="1" xfId="11" applyFont="1" applyFill="1" applyBorder="1" applyAlignment="1">
      <alignment vertical="center" wrapText="1"/>
    </xf>
    <xf numFmtId="44" fontId="4" fillId="0" borderId="1" xfId="3" applyFont="1" applyFill="1" applyBorder="1" applyAlignment="1">
      <alignment horizontal="right" vertical="center" wrapText="1"/>
    </xf>
    <xf numFmtId="44" fontId="4" fillId="0" borderId="1" xfId="3" applyFont="1" applyFill="1" applyBorder="1" applyAlignment="1">
      <alignment horizontal="center" vertical="center" wrapText="1"/>
    </xf>
    <xf numFmtId="44" fontId="4" fillId="0" borderId="0" xfId="3" applyFont="1" applyFill="1" applyAlignment="1">
      <alignment vertical="center" wrapText="1"/>
    </xf>
    <xf numFmtId="44" fontId="4" fillId="0" borderId="0" xfId="3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5" xfId="3" applyFont="1" applyFill="1" applyBorder="1" applyAlignment="1" applyProtection="1">
      <alignment horizontal="center" vertical="center" wrapText="1"/>
    </xf>
    <xf numFmtId="43" fontId="3" fillId="0" borderId="5" xfId="11" applyFont="1" applyFill="1" applyBorder="1" applyAlignment="1" applyProtection="1">
      <alignment horizontal="center" vertical="center" wrapText="1"/>
    </xf>
    <xf numFmtId="10" fontId="3" fillId="0" borderId="5" xfId="8" applyNumberFormat="1" applyFont="1" applyFill="1" applyBorder="1" applyAlignment="1" applyProtection="1">
      <alignment horizontal="center" vertical="center" wrapText="1"/>
    </xf>
    <xf numFmtId="44" fontId="4" fillId="0" borderId="1" xfId="3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3" fontId="4" fillId="0" borderId="0" xfId="11" applyFont="1" applyFill="1" applyAlignment="1">
      <alignment vertical="center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0" xfId="3" applyNumberFormat="1" applyFont="1" applyFill="1" applyAlignment="1">
      <alignment horizontal="center" vertical="center" wrapText="1"/>
    </xf>
    <xf numFmtId="43" fontId="4" fillId="0" borderId="0" xfId="11" applyFont="1" applyFill="1" applyAlignment="1">
      <alignment horizontal="center" vertical="center"/>
    </xf>
    <xf numFmtId="0" fontId="23" fillId="3" borderId="0" xfId="0" applyFont="1" applyFill="1" applyAlignment="1">
      <alignment vertical="center" wrapText="1"/>
    </xf>
    <xf numFmtId="44" fontId="3" fillId="0" borderId="0" xfId="3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43" fontId="4" fillId="0" borderId="0" xfId="0" applyNumberFormat="1" applyFont="1" applyAlignment="1">
      <alignment vertical="center" wrapText="1"/>
    </xf>
    <xf numFmtId="168" fontId="4" fillId="0" borderId="0" xfId="0" applyNumberFormat="1" applyFont="1" applyAlignment="1">
      <alignment vertical="center" wrapText="1"/>
    </xf>
    <xf numFmtId="43" fontId="9" fillId="0" borderId="0" xfId="0" applyNumberFormat="1" applyFont="1" applyAlignment="1">
      <alignment horizontal="center" vertical="center" wrapText="1"/>
    </xf>
    <xf numFmtId="44" fontId="3" fillId="0" borderId="1" xfId="11" applyNumberFormat="1" applyFont="1" applyFill="1" applyBorder="1" applyAlignment="1">
      <alignment vertical="center" wrapText="1"/>
    </xf>
    <xf numFmtId="43" fontId="4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4" fontId="8" fillId="0" borderId="0" xfId="3" applyFont="1" applyFill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44" fontId="8" fillId="0" borderId="1" xfId="3" applyFont="1" applyFill="1" applyBorder="1" applyAlignment="1">
      <alignment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169" fontId="4" fillId="0" borderId="1" xfId="3" applyNumberFormat="1" applyFont="1" applyFill="1" applyBorder="1" applyAlignment="1">
      <alignment horizontal="right" vertical="center" wrapText="1"/>
    </xf>
    <xf numFmtId="4" fontId="4" fillId="0" borderId="1" xfId="3" applyNumberFormat="1" applyFont="1" applyFill="1" applyBorder="1" applyAlignment="1">
      <alignment horizontal="right" vertical="center" wrapText="1"/>
    </xf>
    <xf numFmtId="169" fontId="4" fillId="0" borderId="1" xfId="3" applyNumberFormat="1" applyFont="1" applyFill="1" applyBorder="1" applyAlignment="1">
      <alignment vertical="center" wrapText="1"/>
    </xf>
    <xf numFmtId="4" fontId="4" fillId="0" borderId="1" xfId="11" applyNumberFormat="1" applyFont="1" applyFill="1" applyBorder="1" applyAlignment="1">
      <alignment vertical="center" wrapText="1"/>
    </xf>
    <xf numFmtId="169" fontId="4" fillId="0" borderId="1" xfId="11" applyNumberFormat="1" applyFont="1" applyFill="1" applyBorder="1" applyAlignment="1">
      <alignment vertical="center" wrapText="1"/>
    </xf>
    <xf numFmtId="43" fontId="3" fillId="0" borderId="0" xfId="0" applyNumberFormat="1" applyFont="1" applyAlignment="1">
      <alignment horizontal="center" vertical="center" wrapText="1"/>
    </xf>
    <xf numFmtId="169" fontId="4" fillId="0" borderId="1" xfId="3" applyNumberFormat="1" applyFont="1" applyFill="1" applyBorder="1" applyAlignment="1">
      <alignment horizontal="center" vertical="center" wrapText="1"/>
    </xf>
    <xf numFmtId="44" fontId="26" fillId="0" borderId="1" xfId="3" applyFont="1" applyFill="1" applyBorder="1" applyAlignment="1">
      <alignment horizontal="right" vertical="center" wrapText="1"/>
    </xf>
    <xf numFmtId="4" fontId="26" fillId="0" borderId="1" xfId="3" applyNumberFormat="1" applyFont="1" applyFill="1" applyBorder="1" applyAlignment="1">
      <alignment horizontal="center" vertical="center" wrapText="1"/>
    </xf>
    <xf numFmtId="44" fontId="26" fillId="0" borderId="1" xfId="3" applyFont="1" applyFill="1" applyBorder="1" applyAlignment="1">
      <alignment horizontal="center" vertical="center" wrapText="1"/>
    </xf>
    <xf numFmtId="44" fontId="20" fillId="0" borderId="1" xfId="3" applyFont="1" applyFill="1" applyBorder="1" applyAlignment="1">
      <alignment horizontal="right" vertical="center" wrapText="1"/>
    </xf>
    <xf numFmtId="43" fontId="20" fillId="0" borderId="1" xfId="11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43" fontId="25" fillId="0" borderId="0" xfId="0" applyNumberFormat="1" applyFont="1" applyAlignment="1">
      <alignment horizontal="center" vertical="center" wrapText="1"/>
    </xf>
    <xf numFmtId="43" fontId="29" fillId="0" borderId="0" xfId="0" applyNumberFormat="1" applyFont="1" applyAlignment="1">
      <alignment horizontal="center" vertical="center" wrapText="1"/>
    </xf>
    <xf numFmtId="4" fontId="30" fillId="0" borderId="0" xfId="0" applyNumberFormat="1" applyFont="1" applyAlignment="1">
      <alignment vertical="center"/>
    </xf>
    <xf numFmtId="43" fontId="29" fillId="0" borderId="0" xfId="0" applyNumberFormat="1" applyFont="1" applyAlignment="1">
      <alignment vertical="center" wrapText="1"/>
    </xf>
    <xf numFmtId="4" fontId="29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4" fontId="29" fillId="0" borderId="0" xfId="0" applyNumberFormat="1" applyFont="1" applyAlignment="1">
      <alignment vertical="center" wrapText="1"/>
    </xf>
    <xf numFmtId="14" fontId="3" fillId="0" borderId="1" xfId="8" applyNumberFormat="1" applyFont="1" applyFill="1" applyBorder="1" applyAlignment="1" applyProtection="1">
      <alignment horizontal="center" vertical="center" wrapText="1"/>
      <protection locked="0"/>
    </xf>
    <xf numFmtId="4" fontId="31" fillId="0" borderId="1" xfId="0" applyNumberFormat="1" applyFont="1" applyBorder="1" applyAlignment="1">
      <alignment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4" fontId="4" fillId="0" borderId="1" xfId="3" applyNumberFormat="1" applyFont="1" applyFill="1" applyBorder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43" fontId="30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24" fillId="0" borderId="0" xfId="0" applyNumberFormat="1" applyFont="1" applyAlignment="1">
      <alignment vertical="center"/>
    </xf>
    <xf numFmtId="43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/>
    </xf>
    <xf numFmtId="4" fontId="32" fillId="0" borderId="0" xfId="0" applyNumberFormat="1" applyFont="1" applyAlignment="1">
      <alignment horizontal="center" vertical="center" wrapText="1"/>
    </xf>
    <xf numFmtId="44" fontId="24" fillId="0" borderId="1" xfId="3" applyFont="1" applyFill="1" applyBorder="1" applyAlignment="1">
      <alignment horizontal="right" vertical="center" wrapText="1"/>
    </xf>
    <xf numFmtId="4" fontId="25" fillId="0" borderId="1" xfId="3" applyNumberFormat="1" applyFont="1" applyFill="1" applyBorder="1" applyAlignment="1">
      <alignment horizontal="center" vertical="center" wrapText="1"/>
    </xf>
    <xf numFmtId="44" fontId="25" fillId="0" borderId="1" xfId="3" applyFont="1" applyFill="1" applyBorder="1" applyAlignment="1">
      <alignment horizontal="center" vertical="center" wrapText="1"/>
    </xf>
    <xf numFmtId="44" fontId="25" fillId="0" borderId="1" xfId="3" applyFont="1" applyFill="1" applyBorder="1" applyAlignment="1">
      <alignment horizontal="right" vertical="center" wrapText="1"/>
    </xf>
    <xf numFmtId="43" fontId="25" fillId="0" borderId="1" xfId="11" applyFont="1" applyFill="1" applyBorder="1" applyAlignment="1">
      <alignment vertical="center" wrapText="1"/>
    </xf>
    <xf numFmtId="43" fontId="24" fillId="0" borderId="1" xfId="11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4" fontId="24" fillId="0" borderId="1" xfId="3" applyNumberFormat="1" applyFont="1" applyFill="1" applyBorder="1" applyAlignment="1">
      <alignment horizontal="right" vertical="center" wrapText="1"/>
    </xf>
    <xf numFmtId="169" fontId="24" fillId="0" borderId="1" xfId="3" applyNumberFormat="1" applyFont="1" applyFill="1" applyBorder="1" applyAlignment="1">
      <alignment vertical="center" wrapText="1"/>
    </xf>
    <xf numFmtId="4" fontId="24" fillId="0" borderId="1" xfId="3" applyNumberFormat="1" applyFont="1" applyFill="1" applyBorder="1" applyAlignment="1">
      <alignment horizontal="center" vertical="center" wrapText="1"/>
    </xf>
    <xf numFmtId="44" fontId="24" fillId="0" borderId="1" xfId="3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4" fontId="24" fillId="0" borderId="1" xfId="3" applyFont="1" applyFill="1" applyBorder="1" applyAlignment="1">
      <alignment vertical="center" wrapText="1"/>
    </xf>
    <xf numFmtId="44" fontId="25" fillId="0" borderId="1" xfId="3" applyFont="1" applyFill="1" applyBorder="1" applyAlignment="1">
      <alignment vertical="center" wrapText="1"/>
    </xf>
    <xf numFmtId="43" fontId="25" fillId="0" borderId="1" xfId="3" applyNumberFormat="1" applyFont="1" applyFill="1" applyBorder="1" applyAlignment="1">
      <alignment vertical="center" wrapText="1"/>
    </xf>
    <xf numFmtId="44" fontId="4" fillId="0" borderId="0" xfId="0" applyNumberFormat="1" applyFont="1" applyAlignment="1">
      <alignment vertical="center" wrapText="1"/>
    </xf>
    <xf numFmtId="43" fontId="3" fillId="3" borderId="1" xfId="11" applyFont="1" applyFill="1" applyBorder="1" applyAlignment="1" applyProtection="1">
      <alignment horizontal="centerContinuous" vertical="center" wrapText="1"/>
    </xf>
    <xf numFmtId="14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0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0" fontId="3" fillId="3" borderId="1" xfId="0" applyFont="1" applyFill="1" applyBorder="1" applyAlignment="1" applyProtection="1">
      <alignment horizontal="centerContinuous" vertical="center" wrapText="1"/>
      <protection locked="0"/>
    </xf>
    <xf numFmtId="167" fontId="3" fillId="3" borderId="1" xfId="11" applyNumberFormat="1" applyFont="1" applyFill="1" applyBorder="1" applyAlignment="1">
      <alignment horizontal="left" vertical="center" wrapText="1"/>
    </xf>
    <xf numFmtId="167" fontId="3" fillId="3" borderId="2" xfId="11" applyNumberFormat="1" applyFont="1" applyFill="1" applyBorder="1" applyAlignment="1">
      <alignment horizontal="centerContinuous" vertical="center" wrapText="1"/>
    </xf>
    <xf numFmtId="43" fontId="3" fillId="3" borderId="2" xfId="11" applyFont="1" applyFill="1" applyBorder="1" applyAlignment="1">
      <alignment horizontal="centerContinuous" vertical="center" wrapText="1"/>
    </xf>
    <xf numFmtId="10" fontId="3" fillId="3" borderId="1" xfId="8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 applyProtection="1">
      <alignment horizontal="centerContinuous" vertical="center" wrapText="1"/>
      <protection locked="0"/>
    </xf>
    <xf numFmtId="0" fontId="4" fillId="3" borderId="1" xfId="0" applyFont="1" applyFill="1" applyBorder="1" applyAlignment="1" applyProtection="1">
      <alignment horizontal="centerContinuous" vertical="center" wrapText="1"/>
      <protection hidden="1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 hidden="1"/>
    </xf>
    <xf numFmtId="14" fontId="4" fillId="3" borderId="2" xfId="0" applyNumberFormat="1" applyFont="1" applyFill="1" applyBorder="1" applyAlignment="1" applyProtection="1">
      <alignment horizontal="centerContinuous" vertical="center" wrapText="1"/>
      <protection locked="0" hidden="1"/>
    </xf>
    <xf numFmtId="43" fontId="4" fillId="3" borderId="2" xfId="11" applyFont="1" applyFill="1" applyBorder="1" applyAlignment="1" applyProtection="1">
      <alignment horizontal="centerContinuous" vertical="center"/>
      <protection locked="0" hidden="1"/>
    </xf>
    <xf numFmtId="10" fontId="4" fillId="3" borderId="1" xfId="8" applyNumberFormat="1" applyFont="1" applyFill="1" applyBorder="1" applyAlignment="1" applyProtection="1">
      <alignment horizontal="left" vertical="center" wrapText="1"/>
      <protection locked="0" hidden="1"/>
    </xf>
    <xf numFmtId="10" fontId="4" fillId="3" borderId="1" xfId="8" applyNumberFormat="1" applyFont="1" applyFill="1" applyBorder="1" applyAlignment="1" applyProtection="1">
      <alignment horizontal="centerContinuous" vertical="center" wrapText="1"/>
      <protection hidden="1"/>
    </xf>
    <xf numFmtId="10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10" fontId="4" fillId="3" borderId="7" xfId="8" applyNumberFormat="1" applyFont="1" applyFill="1" applyBorder="1" applyAlignment="1" applyProtection="1">
      <alignment horizontal="centerContinuous" vertical="center" wrapText="1"/>
      <protection hidden="1"/>
    </xf>
    <xf numFmtId="10" fontId="4" fillId="3" borderId="2" xfId="8" applyNumberFormat="1" applyFont="1" applyFill="1" applyBorder="1" applyAlignment="1" applyProtection="1">
      <alignment horizontal="centerContinuous" vertical="center" wrapText="1"/>
      <protection hidden="1"/>
    </xf>
    <xf numFmtId="10" fontId="4" fillId="3" borderId="9" xfId="8" applyNumberFormat="1" applyFont="1" applyFill="1" applyBorder="1" applyAlignment="1" applyProtection="1">
      <alignment horizontal="centerContinuous" vertical="center" wrapText="1"/>
      <protection hidden="1"/>
    </xf>
    <xf numFmtId="0" fontId="3" fillId="2" borderId="1" xfId="0" applyFont="1" applyFill="1" applyBorder="1" applyAlignment="1">
      <alignment horizontal="centerContinuous" vertical="center" wrapText="1"/>
    </xf>
    <xf numFmtId="0" fontId="20" fillId="3" borderId="10" xfId="0" applyFont="1" applyFill="1" applyBorder="1" applyAlignment="1">
      <alignment horizontal="centerContinuous" vertical="center"/>
    </xf>
    <xf numFmtId="0" fontId="20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20" fillId="3" borderId="10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centerContinuous" vertical="center"/>
    </xf>
    <xf numFmtId="0" fontId="20" fillId="3" borderId="2" xfId="0" applyFont="1" applyFill="1" applyBorder="1" applyAlignment="1">
      <alignment horizontal="centerContinuous" vertical="center"/>
    </xf>
    <xf numFmtId="0" fontId="20" fillId="3" borderId="9" xfId="0" applyFont="1" applyFill="1" applyBorder="1" applyAlignment="1">
      <alignment horizontal="centerContinuous" vertical="center"/>
    </xf>
    <xf numFmtId="0" fontId="19" fillId="3" borderId="0" xfId="0" applyFont="1" applyFill="1" applyAlignment="1">
      <alignment horizontal="centerContinuous" vertical="center"/>
    </xf>
    <xf numFmtId="0" fontId="20" fillId="3" borderId="1" xfId="0" applyFont="1" applyFill="1" applyBorder="1" applyAlignment="1">
      <alignment horizontal="centerContinuous" vertical="center"/>
    </xf>
    <xf numFmtId="167" fontId="4" fillId="3" borderId="5" xfId="11" applyNumberFormat="1" applyFont="1" applyFill="1" applyBorder="1" applyAlignment="1">
      <alignment horizontal="right" vertical="center"/>
    </xf>
    <xf numFmtId="167" fontId="4" fillId="3" borderId="1" xfId="11" applyNumberFormat="1" applyFont="1" applyFill="1" applyBorder="1" applyAlignment="1">
      <alignment horizontal="right" vertical="center"/>
    </xf>
    <xf numFmtId="43" fontId="4" fillId="3" borderId="5" xfId="11" applyFont="1" applyFill="1" applyBorder="1" applyAlignment="1">
      <alignment horizontal="right" vertical="center"/>
    </xf>
    <xf numFmtId="167" fontId="4" fillId="3" borderId="5" xfId="11" applyNumberFormat="1" applyFont="1" applyFill="1" applyBorder="1" applyAlignment="1">
      <alignment horizontal="centerContinuous" vertical="center"/>
    </xf>
    <xf numFmtId="43" fontId="3" fillId="3" borderId="1" xfId="11" applyFont="1" applyFill="1" applyBorder="1" applyAlignment="1">
      <alignment horizontal="centerContinuous" vertical="center" wrapText="1"/>
    </xf>
    <xf numFmtId="10" fontId="4" fillId="3" borderId="1" xfId="8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Continuous" vertical="center" wrapText="1"/>
    </xf>
    <xf numFmtId="0" fontId="3" fillId="3" borderId="1" xfId="0" applyFont="1" applyFill="1" applyBorder="1" applyAlignment="1">
      <alignment horizontal="centerContinuous" vertical="center" wrapText="1"/>
    </xf>
    <xf numFmtId="43" fontId="3" fillId="3" borderId="3" xfId="11" applyFont="1" applyFill="1" applyBorder="1" applyAlignment="1">
      <alignment horizontal="centerContinuous" vertical="center" wrapText="1"/>
    </xf>
    <xf numFmtId="10" fontId="3" fillId="3" borderId="7" xfId="8" applyNumberFormat="1" applyFont="1" applyFill="1" applyBorder="1" applyAlignment="1" applyProtection="1">
      <alignment horizontal="centerContinuous" vertical="center" wrapText="1"/>
    </xf>
    <xf numFmtId="10" fontId="3" fillId="3" borderId="2" xfId="8" applyNumberFormat="1" applyFont="1" applyFill="1" applyBorder="1" applyAlignment="1" applyProtection="1">
      <alignment horizontal="centerContinuous" vertical="center" wrapText="1"/>
    </xf>
    <xf numFmtId="10" fontId="3" fillId="3" borderId="9" xfId="8" applyNumberFormat="1" applyFont="1" applyFill="1" applyBorder="1" applyAlignment="1" applyProtection="1">
      <alignment horizontal="centerContinuous" vertical="center" wrapText="1"/>
    </xf>
    <xf numFmtId="0" fontId="7" fillId="3" borderId="0" xfId="0" applyFont="1" applyFill="1" applyAlignment="1">
      <alignment horizontal="centerContinuous" vertical="center" wrapText="1"/>
    </xf>
    <xf numFmtId="0" fontId="11" fillId="6" borderId="11" xfId="0" applyFont="1" applyFill="1" applyBorder="1" applyAlignment="1">
      <alignment horizontal="centerContinuous"/>
    </xf>
    <xf numFmtId="0" fontId="11" fillId="6" borderId="12" xfId="0" applyFont="1" applyFill="1" applyBorder="1" applyAlignment="1">
      <alignment horizontal="centerContinuous"/>
    </xf>
    <xf numFmtId="0" fontId="11" fillId="6" borderId="13" xfId="0" applyFont="1" applyFill="1" applyBorder="1" applyAlignment="1">
      <alignment horizontal="centerContinuous"/>
    </xf>
    <xf numFmtId="0" fontId="23" fillId="3" borderId="0" xfId="0" applyFont="1" applyFill="1" applyAlignment="1">
      <alignment horizontal="left" vertical="center" wrapText="1"/>
    </xf>
    <xf numFmtId="4" fontId="37" fillId="0" borderId="0" xfId="0" applyNumberFormat="1" applyFont="1" applyAlignment="1">
      <alignment vertical="center" wrapText="1"/>
    </xf>
    <xf numFmtId="4" fontId="37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 wrapText="1"/>
    </xf>
    <xf numFmtId="4" fontId="39" fillId="0" borderId="0" xfId="0" applyNumberFormat="1" applyFont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40" fillId="3" borderId="0" xfId="0" applyFont="1" applyFill="1" applyAlignment="1">
      <alignment horizontal="left" vertical="center" wrapText="1"/>
    </xf>
    <xf numFmtId="0" fontId="40" fillId="3" borderId="0" xfId="0" applyFont="1" applyFill="1" applyAlignment="1">
      <alignment vertical="center" wrapText="1"/>
    </xf>
    <xf numFmtId="43" fontId="41" fillId="0" borderId="0" xfId="11" applyFont="1" applyFill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4" fontId="4" fillId="0" borderId="1" xfId="13" applyNumberFormat="1" applyFont="1" applyFill="1" applyBorder="1" applyAlignment="1">
      <alignment horizontal="right" vertical="center" wrapText="1"/>
    </xf>
    <xf numFmtId="43" fontId="42" fillId="0" borderId="0" xfId="0" applyNumberFormat="1" applyFont="1" applyAlignment="1">
      <alignment horizontal="center" vertical="center" wrapText="1"/>
    </xf>
    <xf numFmtId="4" fontId="43" fillId="0" borderId="0" xfId="0" applyNumberFormat="1" applyFont="1" applyAlignment="1">
      <alignment vertical="center" wrapText="1"/>
    </xf>
    <xf numFmtId="4" fontId="42" fillId="0" borderId="0" xfId="0" applyNumberFormat="1" applyFont="1" applyAlignment="1">
      <alignment vertical="center" wrapText="1"/>
    </xf>
    <xf numFmtId="2" fontId="41" fillId="0" borderId="0" xfId="0" applyNumberFormat="1" applyFont="1" applyAlignment="1">
      <alignment vertical="center" wrapText="1"/>
    </xf>
    <xf numFmtId="4" fontId="41" fillId="0" borderId="0" xfId="0" applyNumberFormat="1" applyFont="1" applyAlignment="1">
      <alignment vertical="center" wrapText="1"/>
    </xf>
    <xf numFmtId="43" fontId="4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44" fontId="4" fillId="0" borderId="1" xfId="0" applyNumberFormat="1" applyFont="1" applyBorder="1" applyAlignment="1">
      <alignment horizontal="right" vertical="center" wrapText="1"/>
    </xf>
    <xf numFmtId="44" fontId="4" fillId="0" borderId="9" xfId="0" applyNumberFormat="1" applyFont="1" applyBorder="1" applyAlignment="1">
      <alignment vertical="center" wrapText="1"/>
    </xf>
    <xf numFmtId="44" fontId="4" fillId="0" borderId="1" xfId="0" applyNumberFormat="1" applyFont="1" applyFill="1" applyBorder="1" applyAlignment="1">
      <alignment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69" fontId="4" fillId="0" borderId="1" xfId="11" applyNumberFormat="1" applyFont="1" applyFill="1" applyBorder="1" applyAlignment="1">
      <alignment horizontal="center" vertical="center" wrapText="1"/>
    </xf>
    <xf numFmtId="2" fontId="4" fillId="0" borderId="1" xfId="11" applyNumberFormat="1" applyFont="1" applyFill="1" applyBorder="1" applyAlignment="1">
      <alignment horizontal="center" vertical="center" wrapText="1"/>
    </xf>
    <xf numFmtId="169" fontId="24" fillId="0" borderId="1" xfId="11" applyNumberFormat="1" applyFont="1" applyFill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/>
    </xf>
    <xf numFmtId="4" fontId="24" fillId="0" borderId="1" xfId="11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4" fillId="0" borderId="1" xfId="11" applyNumberFormat="1" applyFont="1" applyFill="1" applyBorder="1" applyAlignment="1">
      <alignment horizontal="center" vertical="center" wrapText="1"/>
    </xf>
    <xf numFmtId="4" fontId="3" fillId="0" borderId="1" xfId="11" applyNumberFormat="1" applyFont="1" applyFill="1" applyBorder="1" applyAlignment="1">
      <alignment horizontal="center" vertical="center" wrapText="1"/>
    </xf>
    <xf numFmtId="44" fontId="4" fillId="0" borderId="1" xfId="11" applyNumberFormat="1" applyFont="1" applyFill="1" applyBorder="1" applyAlignment="1">
      <alignment horizontal="center" vertical="center" wrapText="1"/>
    </xf>
    <xf numFmtId="44" fontId="3" fillId="0" borderId="1" xfId="11" applyNumberFormat="1" applyFont="1" applyFill="1" applyBorder="1" applyAlignment="1">
      <alignment horizontal="center" vertical="center" wrapText="1"/>
    </xf>
    <xf numFmtId="169" fontId="20" fillId="0" borderId="1" xfId="11" applyNumberFormat="1" applyFont="1" applyFill="1" applyBorder="1" applyAlignment="1">
      <alignment horizontal="center" vertical="center" wrapText="1"/>
    </xf>
    <xf numFmtId="2" fontId="24" fillId="0" borderId="1" xfId="11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9" fontId="4" fillId="0" borderId="0" xfId="3" applyNumberFormat="1" applyFont="1" applyFill="1" applyAlignment="1">
      <alignment vertical="center" wrapText="1"/>
    </xf>
    <xf numFmtId="0" fontId="24" fillId="7" borderId="1" xfId="0" applyFont="1" applyFill="1" applyBorder="1" applyAlignment="1">
      <alignment horizontal="center" vertical="center" wrapText="1"/>
    </xf>
    <xf numFmtId="44" fontId="24" fillId="7" borderId="1" xfId="3" applyFont="1" applyFill="1" applyBorder="1" applyAlignment="1">
      <alignment horizontal="center" vertical="center" wrapText="1"/>
    </xf>
    <xf numFmtId="4" fontId="25" fillId="7" borderId="1" xfId="3" applyNumberFormat="1" applyFont="1" applyFill="1" applyBorder="1" applyAlignment="1">
      <alignment horizontal="center" vertical="center" wrapText="1"/>
    </xf>
    <xf numFmtId="44" fontId="25" fillId="7" borderId="1" xfId="3" applyFont="1" applyFill="1" applyBorder="1" applyAlignment="1">
      <alignment horizontal="center" vertical="center" wrapText="1"/>
    </xf>
    <xf numFmtId="44" fontId="25" fillId="7" borderId="1" xfId="3" applyFont="1" applyFill="1" applyBorder="1" applyAlignment="1">
      <alignment horizontal="right" vertical="center" wrapText="1"/>
    </xf>
    <xf numFmtId="4" fontId="28" fillId="7" borderId="1" xfId="0" applyNumberFormat="1" applyFont="1" applyFill="1" applyBorder="1" applyAlignment="1">
      <alignment vertical="center"/>
    </xf>
    <xf numFmtId="43" fontId="24" fillId="7" borderId="1" xfId="3" applyNumberFormat="1" applyFont="1" applyFill="1" applyBorder="1" applyAlignment="1">
      <alignment horizontal="center" vertical="center" wrapText="1"/>
    </xf>
    <xf numFmtId="4" fontId="24" fillId="7" borderId="1" xfId="3" applyNumberFormat="1" applyFont="1" applyFill="1" applyBorder="1" applyAlignment="1">
      <alignment horizontal="center" vertical="center" wrapText="1"/>
    </xf>
    <xf numFmtId="43" fontId="29" fillId="7" borderId="0" xfId="0" applyNumberFormat="1" applyFont="1" applyFill="1" applyAlignment="1">
      <alignment horizontal="center" vertical="center" wrapText="1"/>
    </xf>
    <xf numFmtId="0" fontId="25" fillId="7" borderId="0" xfId="0" applyFont="1" applyFill="1" applyAlignment="1">
      <alignment vertical="center" wrapText="1"/>
    </xf>
    <xf numFmtId="4" fontId="24" fillId="7" borderId="1" xfId="11" applyNumberFormat="1" applyFont="1" applyFill="1" applyBorder="1" applyAlignment="1">
      <alignment vertical="center" wrapText="1"/>
    </xf>
    <xf numFmtId="169" fontId="24" fillId="7" borderId="1" xfId="3" applyNumberFormat="1" applyFont="1" applyFill="1" applyBorder="1" applyAlignment="1">
      <alignment horizontal="center" vertical="center" wrapText="1"/>
    </xf>
    <xf numFmtId="0" fontId="25" fillId="7" borderId="0" xfId="0" applyFont="1" applyFill="1" applyAlignment="1">
      <alignment vertical="center"/>
    </xf>
    <xf numFmtId="43" fontId="24" fillId="7" borderId="1" xfId="11" applyFont="1" applyFill="1" applyBorder="1" applyAlignment="1">
      <alignment horizontal="right" vertical="center" wrapText="1"/>
    </xf>
    <xf numFmtId="44" fontId="25" fillId="7" borderId="0" xfId="0" applyNumberFormat="1" applyFont="1" applyFill="1" applyAlignment="1">
      <alignment vertical="center" wrapText="1"/>
    </xf>
    <xf numFmtId="43" fontId="24" fillId="7" borderId="1" xfId="11" applyFont="1" applyFill="1" applyBorder="1" applyAlignment="1">
      <alignment vertical="center" wrapText="1"/>
    </xf>
    <xf numFmtId="169" fontId="24" fillId="7" borderId="1" xfId="11" applyNumberFormat="1" applyFont="1" applyFill="1" applyBorder="1" applyAlignment="1">
      <alignment horizontal="center" vertical="center" wrapText="1"/>
    </xf>
    <xf numFmtId="43" fontId="25" fillId="7" borderId="0" xfId="0" applyNumberFormat="1" applyFont="1" applyFill="1" applyAlignment="1">
      <alignment horizontal="center" vertical="center" wrapText="1"/>
    </xf>
    <xf numFmtId="4" fontId="37" fillId="7" borderId="0" xfId="0" applyNumberFormat="1" applyFont="1" applyFill="1" applyAlignment="1">
      <alignment vertical="center"/>
    </xf>
    <xf numFmtId="44" fontId="25" fillId="7" borderId="1" xfId="3" applyFont="1" applyFill="1" applyBorder="1" applyAlignment="1">
      <alignment vertical="center" wrapText="1"/>
    </xf>
    <xf numFmtId="4" fontId="40" fillId="7" borderId="0" xfId="0" applyNumberFormat="1" applyFont="1" applyFill="1" applyAlignment="1">
      <alignment vertical="center"/>
    </xf>
    <xf numFmtId="43" fontId="25" fillId="7" borderId="1" xfId="11" applyFont="1" applyFill="1" applyBorder="1" applyAlignment="1">
      <alignment vertical="center" wrapText="1"/>
    </xf>
    <xf numFmtId="44" fontId="24" fillId="7" borderId="1" xfId="3" applyFont="1" applyFill="1" applyBorder="1" applyAlignment="1">
      <alignment vertical="center" wrapText="1"/>
    </xf>
    <xf numFmtId="43" fontId="24" fillId="7" borderId="1" xfId="3" applyNumberFormat="1" applyFont="1" applyFill="1" applyBorder="1" applyAlignment="1">
      <alignment horizontal="right" vertical="center" wrapText="1"/>
    </xf>
    <xf numFmtId="169" fontId="24" fillId="7" borderId="1" xfId="3" applyNumberFormat="1" applyFont="1" applyFill="1" applyBorder="1" applyAlignment="1">
      <alignment horizontal="right" vertical="center" wrapText="1"/>
    </xf>
    <xf numFmtId="43" fontId="24" fillId="7" borderId="0" xfId="0" applyNumberFormat="1" applyFont="1" applyFill="1" applyAlignment="1">
      <alignment horizontal="center" vertical="center" wrapText="1"/>
    </xf>
    <xf numFmtId="0" fontId="24" fillId="7" borderId="0" xfId="0" applyFont="1" applyFill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67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44" fontId="4" fillId="0" borderId="4" xfId="0" applyNumberFormat="1" applyFont="1" applyBorder="1" applyAlignment="1">
      <alignment vertical="center" wrapText="1"/>
    </xf>
    <xf numFmtId="44" fontId="4" fillId="0" borderId="4" xfId="3" applyFont="1" applyFill="1" applyBorder="1" applyAlignment="1">
      <alignment horizontal="right" vertical="center" wrapText="1"/>
    </xf>
    <xf numFmtId="4" fontId="4" fillId="0" borderId="4" xfId="3" applyNumberFormat="1" applyFont="1" applyFill="1" applyBorder="1" applyAlignment="1">
      <alignment horizontal="center" vertical="center" wrapText="1"/>
    </xf>
    <xf numFmtId="44" fontId="4" fillId="0" borderId="4" xfId="3" applyFont="1" applyFill="1" applyBorder="1" applyAlignment="1">
      <alignment horizontal="center" vertical="center" wrapText="1"/>
    </xf>
    <xf numFmtId="43" fontId="4" fillId="0" borderId="4" xfId="11" applyFont="1" applyFill="1" applyBorder="1" applyAlignment="1">
      <alignment vertical="center" wrapText="1"/>
    </xf>
    <xf numFmtId="43" fontId="37" fillId="7" borderId="8" xfId="0" applyNumberFormat="1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vertical="center" wrapText="1"/>
    </xf>
    <xf numFmtId="43" fontId="37" fillId="7" borderId="0" xfId="0" applyNumberFormat="1" applyFont="1" applyFill="1" applyAlignment="1">
      <alignment horizontal="center" vertical="center" wrapText="1"/>
    </xf>
    <xf numFmtId="43" fontId="25" fillId="7" borderId="1" xfId="3" applyNumberFormat="1" applyFont="1" applyFill="1" applyBorder="1" applyAlignment="1">
      <alignment vertical="center" wrapText="1"/>
    </xf>
    <xf numFmtId="169" fontId="24" fillId="7" borderId="1" xfId="3" applyNumberFormat="1" applyFont="1" applyFill="1" applyBorder="1" applyAlignment="1">
      <alignment vertical="center" wrapText="1"/>
    </xf>
    <xf numFmtId="2" fontId="24" fillId="7" borderId="1" xfId="3" applyNumberFormat="1" applyFont="1" applyFill="1" applyBorder="1" applyAlignment="1">
      <alignment horizontal="center" vertical="center" wrapText="1"/>
    </xf>
    <xf numFmtId="2" fontId="24" fillId="7" borderId="1" xfId="3" applyNumberFormat="1" applyFont="1" applyFill="1" applyBorder="1" applyAlignment="1">
      <alignment vertical="center" wrapText="1"/>
    </xf>
    <xf numFmtId="43" fontId="24" fillId="7" borderId="1" xfId="3" applyNumberFormat="1" applyFont="1" applyFill="1" applyBorder="1" applyAlignment="1">
      <alignment vertical="center" wrapText="1"/>
    </xf>
    <xf numFmtId="43" fontId="3" fillId="7" borderId="0" xfId="0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vertical="center" wrapText="1"/>
    </xf>
    <xf numFmtId="43" fontId="25" fillId="7" borderId="1" xfId="0" applyNumberFormat="1" applyFont="1" applyFill="1" applyBorder="1" applyAlignment="1">
      <alignment vertical="center" wrapText="1"/>
    </xf>
    <xf numFmtId="4" fontId="4" fillId="0" borderId="14" xfId="11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43" fontId="24" fillId="0" borderId="1" xfId="3" applyNumberFormat="1" applyFont="1" applyFill="1" applyBorder="1" applyAlignment="1">
      <alignment vertical="center" wrapText="1"/>
    </xf>
    <xf numFmtId="169" fontId="25" fillId="0" borderId="1" xfId="3" applyNumberFormat="1" applyFont="1" applyFill="1" applyBorder="1" applyAlignment="1">
      <alignment horizontal="center" vertical="center" wrapText="1"/>
    </xf>
    <xf numFmtId="169" fontId="4" fillId="0" borderId="1" xfId="0" applyNumberFormat="1" applyFont="1" applyBorder="1" applyAlignment="1">
      <alignment vertical="center" wrapText="1"/>
    </xf>
    <xf numFmtId="43" fontId="24" fillId="7" borderId="1" xfId="0" applyNumberFormat="1" applyFont="1" applyFill="1" applyBorder="1" applyAlignment="1">
      <alignment vertical="center" wrapText="1"/>
    </xf>
    <xf numFmtId="43" fontId="24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>
      <alignment vertical="center" wrapText="1"/>
    </xf>
    <xf numFmtId="10" fontId="4" fillId="0" borderId="0" xfId="11" applyNumberFormat="1" applyFont="1" applyFill="1" applyAlignment="1">
      <alignment horizontal="center" vertical="center"/>
    </xf>
    <xf numFmtId="10" fontId="25" fillId="7" borderId="1" xfId="3" applyNumberFormat="1" applyFont="1" applyFill="1" applyBorder="1" applyAlignment="1">
      <alignment horizontal="center" vertical="center" wrapText="1"/>
    </xf>
    <xf numFmtId="10" fontId="4" fillId="0" borderId="1" xfId="3" applyNumberFormat="1" applyFont="1" applyFill="1" applyBorder="1" applyAlignment="1">
      <alignment horizontal="center" vertical="center" wrapText="1"/>
    </xf>
    <xf numFmtId="10" fontId="26" fillId="0" borderId="1" xfId="3" applyNumberFormat="1" applyFont="1" applyFill="1" applyBorder="1" applyAlignment="1">
      <alignment horizontal="center" vertical="center" wrapText="1"/>
    </xf>
    <xf numFmtId="10" fontId="4" fillId="0" borderId="1" xfId="3" applyNumberFormat="1" applyFont="1" applyFill="1" applyBorder="1" applyAlignment="1">
      <alignment horizontal="right" vertical="center" wrapText="1"/>
    </xf>
    <xf numFmtId="2" fontId="4" fillId="0" borderId="1" xfId="3" applyNumberFormat="1" applyFont="1" applyFill="1" applyBorder="1" applyAlignment="1">
      <alignment horizontal="right" vertical="center" wrapText="1"/>
    </xf>
    <xf numFmtId="10" fontId="24" fillId="0" borderId="1" xfId="3" applyNumberFormat="1" applyFont="1" applyFill="1" applyBorder="1" applyAlignment="1">
      <alignment horizontal="center" vertical="center" wrapText="1"/>
    </xf>
    <xf numFmtId="10" fontId="24" fillId="0" borderId="1" xfId="3" applyNumberFormat="1" applyFont="1" applyFill="1" applyBorder="1" applyAlignment="1">
      <alignment horizontal="right" vertical="center" wrapText="1"/>
    </xf>
    <xf numFmtId="2" fontId="25" fillId="0" borderId="1" xfId="3" applyNumberFormat="1" applyFont="1" applyFill="1" applyBorder="1" applyAlignment="1">
      <alignment horizontal="right" vertical="center" wrapText="1"/>
    </xf>
    <xf numFmtId="2" fontId="25" fillId="0" borderId="1" xfId="3" applyNumberFormat="1" applyFont="1" applyFill="1" applyBorder="1" applyAlignment="1">
      <alignment horizontal="center" vertical="center" wrapText="1"/>
    </xf>
    <xf numFmtId="10" fontId="25" fillId="0" borderId="1" xfId="3" applyNumberFormat="1" applyFont="1" applyFill="1" applyBorder="1" applyAlignment="1">
      <alignment horizontal="center" vertical="center" wrapText="1"/>
    </xf>
    <xf numFmtId="10" fontId="24" fillId="7" borderId="1" xfId="3" applyNumberFormat="1" applyFont="1" applyFill="1" applyBorder="1" applyAlignment="1">
      <alignment horizontal="center" vertical="center" wrapText="1"/>
    </xf>
    <xf numFmtId="2" fontId="4" fillId="0" borderId="4" xfId="3" applyNumberFormat="1" applyFont="1" applyFill="1" applyBorder="1" applyAlignment="1">
      <alignment horizontal="center" vertical="center" wrapText="1"/>
    </xf>
    <xf numFmtId="4" fontId="4" fillId="0" borderId="0" xfId="11" applyNumberFormat="1" applyFont="1" applyFill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7" borderId="7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24" fillId="7" borderId="9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hidden="1"/>
    </xf>
    <xf numFmtId="0" fontId="31" fillId="0" borderId="2" xfId="0" applyFont="1" applyBorder="1" applyAlignment="1" applyProtection="1">
      <alignment horizontal="center" vertical="center" wrapText="1"/>
      <protection hidden="1"/>
    </xf>
    <xf numFmtId="0" fontId="31" fillId="0" borderId="9" xfId="0" applyFont="1" applyBorder="1" applyAlignment="1" applyProtection="1">
      <alignment horizontal="center" vertical="center" wrapText="1"/>
      <protection hidden="1"/>
    </xf>
    <xf numFmtId="14" fontId="3" fillId="0" borderId="7" xfId="8" applyNumberFormat="1" applyFont="1" applyFill="1" applyBorder="1" applyAlignment="1" applyProtection="1">
      <alignment horizontal="center" vertical="center" wrapText="1"/>
      <protection locked="0"/>
    </xf>
    <xf numFmtId="14" fontId="3" fillId="0" borderId="2" xfId="8" applyNumberFormat="1" applyFont="1" applyFill="1" applyBorder="1" applyAlignment="1" applyProtection="1">
      <alignment horizontal="center" vertical="center" wrapText="1"/>
      <protection locked="0"/>
    </xf>
    <xf numFmtId="14" fontId="3" fillId="0" borderId="9" xfId="8" applyNumberFormat="1" applyFont="1" applyFill="1" applyBorder="1" applyAlignment="1" applyProtection="1">
      <alignment horizontal="center" vertical="center" wrapText="1"/>
      <protection locked="0"/>
    </xf>
    <xf numFmtId="14" fontId="4" fillId="0" borderId="7" xfId="0" applyNumberFormat="1" applyFont="1" applyBorder="1" applyAlignment="1" applyProtection="1">
      <alignment horizontal="left" vertical="center" wrapText="1"/>
      <protection locked="0" hidden="1"/>
    </xf>
    <xf numFmtId="14" fontId="4" fillId="0" borderId="2" xfId="0" applyNumberFormat="1" applyFont="1" applyBorder="1" applyAlignment="1" applyProtection="1">
      <alignment horizontal="left" vertical="center" wrapText="1"/>
      <protection locked="0" hidden="1"/>
    </xf>
    <xf numFmtId="14" fontId="4" fillId="0" borderId="9" xfId="0" applyNumberFormat="1" applyFont="1" applyBorder="1" applyAlignment="1" applyProtection="1">
      <alignment horizontal="left" vertical="center" wrapText="1"/>
      <protection locked="0" hidden="1"/>
    </xf>
    <xf numFmtId="167" fontId="4" fillId="0" borderId="7" xfId="11" applyNumberFormat="1" applyFont="1" applyFill="1" applyBorder="1" applyAlignment="1">
      <alignment horizontal="left" vertical="center" wrapText="1"/>
    </xf>
    <xf numFmtId="167" fontId="4" fillId="0" borderId="2" xfId="11" applyNumberFormat="1" applyFont="1" applyFill="1" applyBorder="1" applyAlignment="1">
      <alignment horizontal="left" vertical="center" wrapText="1"/>
    </xf>
    <xf numFmtId="167" fontId="4" fillId="0" borderId="9" xfId="11" applyNumberFormat="1" applyFont="1" applyFill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4" fontId="3" fillId="0" borderId="7" xfId="0" applyNumberFormat="1" applyFont="1" applyBorder="1" applyAlignment="1" applyProtection="1">
      <alignment horizontal="center" vertical="center" wrapText="1"/>
      <protection locked="0"/>
    </xf>
    <xf numFmtId="14" fontId="3" fillId="0" borderId="9" xfId="0" applyNumberFormat="1" applyFont="1" applyBorder="1" applyAlignment="1" applyProtection="1">
      <alignment horizontal="center" vertical="center" wrapText="1"/>
      <protection locked="0"/>
    </xf>
    <xf numFmtId="10" fontId="3" fillId="0" borderId="7" xfId="8" applyNumberFormat="1" applyFont="1" applyFill="1" applyBorder="1" applyAlignment="1" applyProtection="1">
      <alignment horizontal="center" vertical="center" wrapText="1"/>
      <protection hidden="1"/>
    </xf>
    <xf numFmtId="10" fontId="3" fillId="0" borderId="2" xfId="8" applyNumberFormat="1" applyFont="1" applyFill="1" applyBorder="1" applyAlignment="1" applyProtection="1">
      <alignment horizontal="center" vertical="center" wrapText="1"/>
      <protection hidden="1"/>
    </xf>
    <xf numFmtId="10" fontId="3" fillId="0" borderId="9" xfId="8" applyNumberFormat="1" applyFont="1" applyFill="1" applyBorder="1" applyAlignment="1" applyProtection="1">
      <alignment horizontal="center" vertical="center" wrapText="1"/>
      <protection hidden="1"/>
    </xf>
    <xf numFmtId="10" fontId="3" fillId="0" borderId="7" xfId="8" applyNumberFormat="1" applyFont="1" applyFill="1" applyBorder="1" applyAlignment="1" applyProtection="1">
      <alignment horizontal="center" vertical="center" wrapText="1"/>
      <protection locked="0"/>
    </xf>
    <xf numFmtId="10" fontId="3" fillId="0" borderId="2" xfId="8" applyNumberFormat="1" applyFont="1" applyFill="1" applyBorder="1" applyAlignment="1" applyProtection="1">
      <alignment horizontal="center" vertical="center" wrapText="1"/>
      <protection locked="0"/>
    </xf>
    <xf numFmtId="10" fontId="3" fillId="0" borderId="9" xfId="8" applyNumberFormat="1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Alignment="1">
      <alignment horizontal="center" vertical="center" wrapText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68" fontId="3" fillId="0" borderId="7" xfId="11" applyNumberFormat="1" applyFont="1" applyFill="1" applyBorder="1" applyAlignment="1" applyProtection="1">
      <alignment horizontal="center" vertical="center" wrapText="1"/>
    </xf>
    <xf numFmtId="168" fontId="3" fillId="0" borderId="9" xfId="11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3" fillId="0" borderId="7" xfId="8" applyNumberFormat="1" applyFont="1" applyFill="1" applyBorder="1" applyAlignment="1" applyProtection="1">
      <alignment horizontal="center" vertical="center" wrapText="1"/>
    </xf>
    <xf numFmtId="10" fontId="3" fillId="0" borderId="2" xfId="8" applyNumberFormat="1" applyFont="1" applyFill="1" applyBorder="1" applyAlignment="1" applyProtection="1">
      <alignment horizontal="center" vertical="center" wrapText="1"/>
    </xf>
    <xf numFmtId="10" fontId="3" fillId="0" borderId="9" xfId="8" applyNumberFormat="1" applyFont="1" applyFill="1" applyBorder="1" applyAlignment="1" applyProtection="1">
      <alignment horizontal="center" vertical="center" wrapText="1"/>
    </xf>
    <xf numFmtId="167" fontId="4" fillId="0" borderId="7" xfId="11" applyNumberFormat="1" applyFont="1" applyFill="1" applyBorder="1" applyAlignment="1">
      <alignment horizontal="center" vertical="center"/>
    </xf>
    <xf numFmtId="167" fontId="4" fillId="0" borderId="2" xfId="11" applyNumberFormat="1" applyFont="1" applyFill="1" applyBorder="1" applyAlignment="1">
      <alignment horizontal="center" vertical="center"/>
    </xf>
    <xf numFmtId="167" fontId="4" fillId="0" borderId="9" xfId="11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4" fontId="37" fillId="0" borderId="0" xfId="0" applyNumberFormat="1" applyFont="1" applyFill="1" applyAlignment="1">
      <alignment vertical="center" wrapText="1"/>
    </xf>
    <xf numFmtId="4" fontId="41" fillId="0" borderId="0" xfId="0" applyNumberFormat="1" applyFont="1" applyFill="1" applyAlignment="1">
      <alignment vertical="center" wrapText="1"/>
    </xf>
  </cellXfs>
  <cellStyles count="14">
    <cellStyle name="Excel Built-in Normal" xfId="1"/>
    <cellStyle name="Hyperlink" xfId="2" builtinId="8"/>
    <cellStyle name="Moeda" xfId="3" builtinId="4"/>
    <cellStyle name="Moeda 2" xfId="4"/>
    <cellStyle name="Normal" xfId="0" builtinId="0"/>
    <cellStyle name="Normal 2" xfId="5"/>
    <cellStyle name="Normal 2 2" xfId="6"/>
    <cellStyle name="Normal 2 3" xfId="7"/>
    <cellStyle name="Porcentagem" xfId="8" builtinId="5"/>
    <cellStyle name="Porcentagem 2" xfId="9"/>
    <cellStyle name="Porcentagem 2 2" xfId="10"/>
    <cellStyle name="Separador de milhares" xfId="11" builtinId="3"/>
    <cellStyle name="Separador de milhares 2" xfId="12"/>
    <cellStyle name="Vírgula 5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10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10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25</xdr:row>
      <xdr:rowOff>0</xdr:rowOff>
    </xdr:from>
    <xdr:to>
      <xdr:col>1</xdr:col>
      <xdr:colOff>723900</xdr:colOff>
      <xdr:row>25</xdr:row>
      <xdr:rowOff>47625</xdr:rowOff>
    </xdr:to>
    <xdr:pic>
      <xdr:nvPicPr>
        <xdr:cNvPr id="10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25</xdr:row>
      <xdr:rowOff>0</xdr:rowOff>
    </xdr:from>
    <xdr:to>
      <xdr:col>1</xdr:col>
      <xdr:colOff>723900</xdr:colOff>
      <xdr:row>25</xdr:row>
      <xdr:rowOff>47625</xdr:rowOff>
    </xdr:to>
    <xdr:pic>
      <xdr:nvPicPr>
        <xdr:cNvPr id="10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542925</xdr:colOff>
      <xdr:row>1</xdr:row>
      <xdr:rowOff>38100</xdr:rowOff>
    </xdr:to>
    <xdr:pic>
      <xdr:nvPicPr>
        <xdr:cNvPr id="2073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38100"/>
          <a:ext cx="10953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0</xdr:rowOff>
    </xdr:to>
    <xdr:pic>
      <xdr:nvPicPr>
        <xdr:cNvPr id="2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0"/>
          <a:ext cx="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0</xdr:rowOff>
    </xdr:to>
    <xdr:pic>
      <xdr:nvPicPr>
        <xdr:cNvPr id="20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0"/>
          <a:ext cx="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16</xdr:row>
      <xdr:rowOff>0</xdr:rowOff>
    </xdr:from>
    <xdr:to>
      <xdr:col>1</xdr:col>
      <xdr:colOff>723900</xdr:colOff>
      <xdr:row>16</xdr:row>
      <xdr:rowOff>47625</xdr:rowOff>
    </xdr:to>
    <xdr:pic>
      <xdr:nvPicPr>
        <xdr:cNvPr id="41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16</xdr:row>
      <xdr:rowOff>0</xdr:rowOff>
    </xdr:from>
    <xdr:to>
      <xdr:col>1</xdr:col>
      <xdr:colOff>723900</xdr:colOff>
      <xdr:row>16</xdr:row>
      <xdr:rowOff>47625</xdr:rowOff>
    </xdr:to>
    <xdr:pic>
      <xdr:nvPicPr>
        <xdr:cNvPr id="41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16</xdr:row>
      <xdr:rowOff>0</xdr:rowOff>
    </xdr:from>
    <xdr:to>
      <xdr:col>1</xdr:col>
      <xdr:colOff>723900</xdr:colOff>
      <xdr:row>16</xdr:row>
      <xdr:rowOff>47625</xdr:rowOff>
    </xdr:to>
    <xdr:pic>
      <xdr:nvPicPr>
        <xdr:cNvPr id="41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16</xdr:row>
      <xdr:rowOff>0</xdr:rowOff>
    </xdr:from>
    <xdr:to>
      <xdr:col>1</xdr:col>
      <xdr:colOff>723900</xdr:colOff>
      <xdr:row>16</xdr:row>
      <xdr:rowOff>47625</xdr:rowOff>
    </xdr:to>
    <xdr:pic>
      <xdr:nvPicPr>
        <xdr:cNvPr id="4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421410</xdr:colOff>
      <xdr:row>3</xdr:row>
      <xdr:rowOff>0</xdr:rowOff>
    </xdr:to>
    <xdr:pic>
      <xdr:nvPicPr>
        <xdr:cNvPr id="4141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95455" y="0"/>
          <a:ext cx="3524250" cy="874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&#225;rio/Desktop/UBS%20COM.%20NORTE%20LICITADA/MEM&#211;RIA%2010&#170;%20BOLETIM%20MEDI&#199;&#195;O-UBS%20-Bayeux%20(1)%20(1)%20(1)%20(1)%20(1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moria de Calculo"/>
    </sheetNames>
    <sheetDataSet>
      <sheetData sheetId="0">
        <row r="28">
          <cell r="M28">
            <v>23.9</v>
          </cell>
        </row>
        <row r="44">
          <cell r="M44">
            <v>26.64</v>
          </cell>
        </row>
        <row r="57">
          <cell r="M57">
            <v>7.36</v>
          </cell>
        </row>
        <row r="72">
          <cell r="M72">
            <v>23.86</v>
          </cell>
        </row>
        <row r="83">
          <cell r="M83">
            <v>11.55</v>
          </cell>
        </row>
        <row r="93">
          <cell r="M93">
            <v>48.9</v>
          </cell>
        </row>
        <row r="103">
          <cell r="M103">
            <v>1.44</v>
          </cell>
        </row>
        <row r="113">
          <cell r="M113">
            <v>1.44</v>
          </cell>
        </row>
        <row r="121">
          <cell r="M121">
            <v>33.29</v>
          </cell>
        </row>
        <row r="131">
          <cell r="M131">
            <v>228.07</v>
          </cell>
        </row>
        <row r="137">
          <cell r="M137">
            <v>4.28</v>
          </cell>
        </row>
        <row r="143">
          <cell r="M143">
            <v>4.28</v>
          </cell>
        </row>
        <row r="153">
          <cell r="M153">
            <v>63.84</v>
          </cell>
        </row>
        <row r="180">
          <cell r="M180">
            <v>406.58</v>
          </cell>
        </row>
        <row r="203">
          <cell r="M203">
            <v>406.58</v>
          </cell>
        </row>
        <row r="226">
          <cell r="M226">
            <v>406.58</v>
          </cell>
        </row>
        <row r="245">
          <cell r="M245">
            <v>79.38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17"/>
  <sheetViews>
    <sheetView topLeftCell="S1" workbookViewId="0">
      <pane ySplit="25" topLeftCell="A26" activePane="bottomLeft" state="frozen"/>
      <selection pane="bottomLeft" activeCell="AA28" sqref="AA28"/>
    </sheetView>
  </sheetViews>
  <sheetFormatPr defaultRowHeight="12.75"/>
  <cols>
    <col min="1" max="1" width="6.42578125" style="83" customWidth="1"/>
    <col min="2" max="2" width="49.42578125" style="83" customWidth="1"/>
    <col min="3" max="3" width="9.42578125" style="83" customWidth="1"/>
    <col min="4" max="4" width="11.5703125" style="91" customWidth="1"/>
    <col min="5" max="5" width="15" style="92" customWidth="1"/>
    <col min="6" max="6" width="15" style="91" hidden="1" customWidth="1"/>
    <col min="7" max="7" width="15" style="92" hidden="1" customWidth="1"/>
    <col min="8" max="8" width="20" style="92" customWidth="1"/>
    <col min="9" max="9" width="15" style="157" hidden="1" customWidth="1"/>
    <col min="10" max="10" width="15" style="94" hidden="1" customWidth="1"/>
    <col min="11" max="18" width="15.42578125" style="94" hidden="1" customWidth="1"/>
    <col min="19" max="22" width="15.42578125" style="94" customWidth="1"/>
    <col min="23" max="23" width="18.140625" style="95" customWidth="1"/>
    <col min="24" max="24" width="14.140625" style="95" customWidth="1"/>
    <col min="25" max="25" width="15.140625" style="95" customWidth="1"/>
    <col min="26" max="26" width="19.42578125" style="92" customWidth="1"/>
    <col min="27" max="27" width="15" style="93" customWidth="1"/>
    <col min="28" max="28" width="20" style="83" customWidth="1"/>
    <col min="29" max="29" width="19" style="83" customWidth="1"/>
    <col min="30" max="16384" width="9.140625" style="83"/>
  </cols>
  <sheetData>
    <row r="1" spans="1:32" ht="81.75" hidden="1" customHeight="1">
      <c r="A1" s="210" t="s">
        <v>0</v>
      </c>
      <c r="B1" s="210"/>
      <c r="C1" s="210"/>
      <c r="D1" s="146"/>
      <c r="E1" s="146"/>
      <c r="F1" s="211"/>
      <c r="G1" s="146"/>
      <c r="H1" s="146"/>
      <c r="I1" s="210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8"/>
      <c r="X1" s="148"/>
      <c r="Y1" s="148"/>
      <c r="Z1" s="146"/>
      <c r="AA1" s="146"/>
      <c r="AB1" s="146"/>
      <c r="AD1" s="84"/>
      <c r="AE1" s="84"/>
      <c r="AF1" s="85"/>
    </row>
    <row r="2" spans="1:32" ht="12" hidden="1" customHeight="1">
      <c r="A2" s="144" t="s">
        <v>1</v>
      </c>
      <c r="B2" s="144"/>
      <c r="C2" s="144"/>
      <c r="D2" s="144"/>
      <c r="E2" s="144"/>
      <c r="F2" s="158"/>
      <c r="G2" s="144"/>
      <c r="H2" s="19" t="s">
        <v>2</v>
      </c>
      <c r="I2" s="151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24" t="s">
        <v>3</v>
      </c>
      <c r="X2" s="331" t="s">
        <v>4</v>
      </c>
      <c r="Y2" s="331"/>
      <c r="Z2" s="326"/>
      <c r="AA2" s="326" t="s">
        <v>5</v>
      </c>
      <c r="AB2" s="326"/>
    </row>
    <row r="3" spans="1:32" ht="21" hidden="1" customHeight="1">
      <c r="A3" s="150" t="s">
        <v>6</v>
      </c>
      <c r="B3" s="150"/>
      <c r="C3" s="150"/>
      <c r="D3" s="150"/>
      <c r="E3" s="150"/>
      <c r="F3" s="159"/>
      <c r="G3" s="150"/>
      <c r="H3" s="20">
        <v>9</v>
      </c>
      <c r="I3" s="152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49">
        <v>43067</v>
      </c>
      <c r="X3" s="332" t="s">
        <v>7</v>
      </c>
      <c r="Y3" s="332"/>
      <c r="Z3" s="325"/>
      <c r="AA3" s="325">
        <v>42718</v>
      </c>
      <c r="AB3" s="325"/>
    </row>
    <row r="4" spans="1:32" ht="19.5" hidden="1" customHeight="1">
      <c r="A4" s="144" t="s">
        <v>8</v>
      </c>
      <c r="B4" s="144"/>
      <c r="C4" s="144"/>
      <c r="D4" s="144"/>
      <c r="E4" s="144"/>
      <c r="F4" s="158"/>
      <c r="G4" s="144"/>
      <c r="H4" s="19" t="s">
        <v>9</v>
      </c>
      <c r="I4" s="151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24" t="s">
        <v>10</v>
      </c>
      <c r="X4" s="333" t="s">
        <v>11</v>
      </c>
      <c r="Y4" s="334"/>
      <c r="Z4" s="335"/>
      <c r="AA4" s="326" t="s">
        <v>12</v>
      </c>
      <c r="AB4" s="326"/>
      <c r="AC4" s="25"/>
    </row>
    <row r="5" spans="1:32" ht="19.5" hidden="1" customHeight="1">
      <c r="A5" s="150" t="s">
        <v>13</v>
      </c>
      <c r="B5" s="150"/>
      <c r="C5" s="150"/>
      <c r="D5" s="150"/>
      <c r="E5" s="150"/>
      <c r="F5" s="159"/>
      <c r="G5" s="150"/>
      <c r="H5" s="21" t="s">
        <v>14</v>
      </c>
      <c r="I5" s="153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1">
        <v>42705</v>
      </c>
      <c r="X5" s="318">
        <v>43135</v>
      </c>
      <c r="Y5" s="319"/>
      <c r="Z5" s="320"/>
      <c r="AA5" s="325" t="s">
        <v>15</v>
      </c>
      <c r="AB5" s="325"/>
      <c r="AC5" s="26"/>
      <c r="AD5" s="26"/>
      <c r="AE5" s="26"/>
      <c r="AF5" s="26"/>
    </row>
    <row r="6" spans="1:32" ht="19.5" hidden="1" customHeight="1">
      <c r="A6" s="144" t="s">
        <v>16</v>
      </c>
      <c r="B6" s="144"/>
      <c r="C6" s="144"/>
      <c r="D6" s="144"/>
      <c r="E6" s="144"/>
      <c r="F6" s="158"/>
      <c r="G6" s="144"/>
      <c r="H6" s="327" t="s">
        <v>17</v>
      </c>
      <c r="I6" s="328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30"/>
      <c r="X6" s="330"/>
      <c r="Y6" s="330"/>
      <c r="Z6" s="327"/>
      <c r="AA6" s="326" t="s">
        <v>18</v>
      </c>
      <c r="AB6" s="326"/>
      <c r="AC6" s="26"/>
      <c r="AD6" s="26"/>
      <c r="AE6" s="26"/>
      <c r="AF6" s="26"/>
    </row>
    <row r="7" spans="1:32" ht="29.25" hidden="1" customHeight="1">
      <c r="A7" s="145" t="s">
        <v>19</v>
      </c>
      <c r="B7" s="145"/>
      <c r="C7" s="145"/>
      <c r="D7" s="145"/>
      <c r="E7" s="145"/>
      <c r="F7" s="160"/>
      <c r="G7" s="145"/>
      <c r="H7" s="321" t="s">
        <v>20</v>
      </c>
      <c r="I7" s="322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4"/>
      <c r="X7" s="324"/>
      <c r="Y7" s="324"/>
      <c r="Z7" s="321"/>
      <c r="AA7" s="317">
        <v>550194.43999999994</v>
      </c>
      <c r="AB7" s="317"/>
      <c r="AC7" s="26"/>
      <c r="AD7" s="26"/>
      <c r="AE7" s="26"/>
      <c r="AF7" s="26"/>
    </row>
    <row r="8" spans="1:32" ht="30" hidden="1" customHeight="1">
      <c r="A8" s="346" t="s">
        <v>21</v>
      </c>
      <c r="B8" s="346"/>
      <c r="C8" s="346"/>
      <c r="D8" s="347"/>
      <c r="E8" s="347"/>
      <c r="F8" s="348"/>
      <c r="G8" s="347"/>
      <c r="H8" s="347"/>
      <c r="I8" s="349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1"/>
      <c r="X8" s="351"/>
      <c r="Y8" s="351"/>
      <c r="Z8" s="347"/>
      <c r="AA8" s="317" t="e">
        <f>AA233</f>
        <v>#REF!</v>
      </c>
      <c r="AB8" s="317"/>
      <c r="AC8" s="26"/>
      <c r="AD8" s="26"/>
      <c r="AE8" s="26"/>
      <c r="AF8" s="26"/>
    </row>
    <row r="9" spans="1:32" ht="15.75" hidden="1">
      <c r="A9" s="337" t="s">
        <v>6</v>
      </c>
      <c r="B9" s="338"/>
      <c r="C9" s="338"/>
      <c r="D9" s="339"/>
      <c r="E9" s="339"/>
      <c r="F9" s="338"/>
      <c r="G9" s="339"/>
      <c r="H9" s="339"/>
      <c r="I9" s="338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4"/>
      <c r="X9" s="214"/>
      <c r="Y9" s="214"/>
      <c r="Z9" s="212"/>
      <c r="AA9" s="215"/>
      <c r="AB9" s="215"/>
      <c r="AC9" s="26"/>
      <c r="AD9" s="26"/>
      <c r="AE9" s="26"/>
      <c r="AF9" s="26"/>
    </row>
    <row r="10" spans="1:32" ht="15.75" hidden="1">
      <c r="A10" s="337"/>
      <c r="B10" s="338"/>
      <c r="C10" s="338"/>
      <c r="D10" s="339"/>
      <c r="E10" s="339"/>
      <c r="F10" s="338"/>
      <c r="G10" s="339"/>
      <c r="H10" s="339"/>
      <c r="I10" s="338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4"/>
      <c r="X10" s="214"/>
      <c r="Y10" s="214"/>
      <c r="Z10" s="212"/>
      <c r="AA10" s="215"/>
      <c r="AB10" s="215"/>
      <c r="AC10" s="26"/>
      <c r="AD10" s="26"/>
      <c r="AE10" s="26"/>
      <c r="AF10" s="26"/>
    </row>
    <row r="11" spans="1:32" ht="15.75" hidden="1">
      <c r="A11" s="337"/>
      <c r="B11" s="338"/>
      <c r="C11" s="338"/>
      <c r="D11" s="339"/>
      <c r="E11" s="339"/>
      <c r="F11" s="338"/>
      <c r="G11" s="339"/>
      <c r="H11" s="339"/>
      <c r="I11" s="338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4"/>
      <c r="X11" s="214"/>
      <c r="Y11" s="214"/>
      <c r="Z11" s="212"/>
      <c r="AA11" s="215"/>
      <c r="AB11" s="215"/>
      <c r="AC11" s="26"/>
      <c r="AD11" s="26"/>
      <c r="AE11" s="26"/>
      <c r="AF11" s="26"/>
    </row>
    <row r="12" spans="1:32" ht="15.75" hidden="1">
      <c r="A12" s="340" t="s">
        <v>22</v>
      </c>
      <c r="B12" s="226"/>
      <c r="C12" s="226"/>
      <c r="D12" s="339"/>
      <c r="E12" s="339"/>
      <c r="F12" s="226"/>
      <c r="G12" s="339"/>
      <c r="H12" s="339"/>
      <c r="I12" s="226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4"/>
      <c r="X12" s="214"/>
      <c r="Y12" s="214"/>
      <c r="Z12" s="212"/>
      <c r="AA12" s="215"/>
      <c r="AB12" s="215"/>
      <c r="AC12" s="26"/>
      <c r="AD12" s="26"/>
      <c r="AE12" s="26"/>
      <c r="AF12" s="26"/>
    </row>
    <row r="13" spans="1:32" ht="15.75" hidden="1">
      <c r="A13" s="340" t="s">
        <v>23</v>
      </c>
      <c r="B13" s="226"/>
      <c r="C13" s="226"/>
      <c r="D13" s="339"/>
      <c r="E13" s="339"/>
      <c r="F13" s="226"/>
      <c r="G13" s="339"/>
      <c r="H13" s="339"/>
      <c r="I13" s="226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4"/>
      <c r="X13" s="214"/>
      <c r="Y13" s="214"/>
      <c r="Z13" s="212"/>
      <c r="AA13" s="215"/>
      <c r="AB13" s="215"/>
      <c r="AC13" s="26"/>
      <c r="AD13" s="26"/>
      <c r="AE13" s="26"/>
      <c r="AF13" s="26"/>
    </row>
    <row r="14" spans="1:32" ht="15.75" hidden="1">
      <c r="A14" s="340" t="s">
        <v>24</v>
      </c>
      <c r="B14" s="226"/>
      <c r="C14" s="226"/>
      <c r="D14" s="339"/>
      <c r="E14" s="339"/>
      <c r="F14" s="226"/>
      <c r="G14" s="339"/>
      <c r="H14" s="339"/>
      <c r="I14" s="226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4"/>
      <c r="X14" s="214"/>
      <c r="Y14" s="214"/>
      <c r="Z14" s="212"/>
      <c r="AA14" s="215"/>
      <c r="AB14" s="215"/>
      <c r="AC14" s="26"/>
      <c r="AD14" s="26"/>
      <c r="AE14" s="26"/>
      <c r="AF14" s="26"/>
    </row>
    <row r="15" spans="1:32" ht="15.75" hidden="1">
      <c r="A15" s="226"/>
      <c r="B15" s="226"/>
      <c r="C15" s="226"/>
      <c r="D15" s="225"/>
      <c r="E15" s="225"/>
      <c r="F15" s="226"/>
      <c r="G15" s="225"/>
      <c r="H15" s="225"/>
      <c r="I15" s="226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4"/>
      <c r="X15" s="214"/>
      <c r="Y15" s="214"/>
      <c r="Z15" s="212"/>
      <c r="AA15" s="215"/>
      <c r="AB15" s="215"/>
      <c r="AC15" s="26"/>
      <c r="AD15" s="26"/>
      <c r="AE15" s="26"/>
      <c r="AF15" s="26"/>
    </row>
    <row r="16" spans="1:32" ht="15.75">
      <c r="A16" s="226"/>
      <c r="B16" s="226"/>
      <c r="C16" s="226"/>
      <c r="D16" s="225"/>
      <c r="E16" s="225"/>
      <c r="F16" s="226"/>
      <c r="G16" s="225"/>
      <c r="H16" s="225"/>
      <c r="I16" s="226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4"/>
      <c r="X16" s="214"/>
      <c r="Y16" s="214"/>
      <c r="Z16" s="212"/>
      <c r="AA16" s="215"/>
      <c r="AB16" s="215"/>
      <c r="AC16" s="26"/>
      <c r="AD16" s="26"/>
      <c r="AE16" s="26"/>
      <c r="AF16" s="26"/>
    </row>
    <row r="17" spans="1:32" ht="15.75">
      <c r="A17" s="226"/>
      <c r="B17" s="226"/>
      <c r="C17" s="226"/>
      <c r="D17" s="225"/>
      <c r="E17" s="225"/>
      <c r="F17" s="226"/>
      <c r="G17" s="225"/>
      <c r="H17" s="225"/>
      <c r="I17" s="226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4"/>
      <c r="X17" s="214"/>
      <c r="Y17" s="214"/>
      <c r="Z17" s="212"/>
      <c r="AA17" s="215"/>
      <c r="AB17" s="215"/>
      <c r="AC17" s="26"/>
      <c r="AD17" s="26"/>
      <c r="AE17" s="26"/>
      <c r="AF17" s="26"/>
    </row>
    <row r="18" spans="1:32" ht="15.75">
      <c r="A18" s="226"/>
      <c r="B18" s="226"/>
      <c r="C18" s="226"/>
      <c r="D18" s="225"/>
      <c r="E18" s="225"/>
      <c r="F18" s="226"/>
      <c r="G18" s="225"/>
      <c r="H18" s="225"/>
      <c r="I18" s="226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4"/>
      <c r="X18" s="214"/>
      <c r="Y18" s="214"/>
      <c r="Z18" s="212"/>
      <c r="AA18" s="215"/>
      <c r="AB18" s="215"/>
      <c r="AC18" s="26"/>
      <c r="AD18" s="26"/>
      <c r="AE18" s="26"/>
      <c r="AF18" s="26"/>
    </row>
    <row r="19" spans="1:32" ht="15.75">
      <c r="A19" s="226"/>
      <c r="B19" s="226"/>
      <c r="C19" s="226"/>
      <c r="D19" s="225"/>
      <c r="E19" s="225"/>
      <c r="F19" s="226"/>
      <c r="G19" s="225"/>
      <c r="H19" s="225"/>
      <c r="I19" s="226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4"/>
      <c r="X19" s="214"/>
      <c r="Y19" s="214"/>
      <c r="Z19" s="212"/>
      <c r="AA19" s="215"/>
      <c r="AB19" s="215"/>
      <c r="AC19" s="26"/>
      <c r="AD19" s="26"/>
      <c r="AE19" s="26"/>
      <c r="AF19" s="26"/>
    </row>
    <row r="20" spans="1:32" ht="15.75">
      <c r="A20" s="226"/>
      <c r="B20" s="226"/>
      <c r="C20" s="226"/>
      <c r="D20" s="225"/>
      <c r="E20" s="225"/>
      <c r="F20" s="226"/>
      <c r="G20" s="225"/>
      <c r="H20" s="225"/>
      <c r="I20" s="226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4"/>
      <c r="X20" s="214"/>
      <c r="Y20" s="214"/>
      <c r="Z20" s="212"/>
      <c r="AA20" s="215"/>
      <c r="AB20" s="215"/>
      <c r="AC20" s="26"/>
      <c r="AD20" s="26"/>
      <c r="AE20" s="26"/>
      <c r="AF20" s="26"/>
    </row>
    <row r="21" spans="1:32" ht="15.75">
      <c r="A21" s="226"/>
      <c r="B21" s="226"/>
      <c r="C21" s="226"/>
      <c r="D21" s="225"/>
      <c r="E21" s="225"/>
      <c r="F21" s="226"/>
      <c r="G21" s="225"/>
      <c r="H21" s="225"/>
      <c r="I21" s="226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4"/>
      <c r="X21" s="214"/>
      <c r="Y21" s="214"/>
      <c r="Z21" s="212"/>
      <c r="AA21" s="215"/>
      <c r="AB21" s="215"/>
      <c r="AC21" s="26"/>
      <c r="AD21" s="26"/>
      <c r="AE21" s="26"/>
      <c r="AF21" s="26"/>
    </row>
    <row r="22" spans="1:32" ht="23.25" hidden="1" customHeight="1">
      <c r="A22" s="341" t="s">
        <v>25</v>
      </c>
      <c r="B22" s="342"/>
      <c r="C22" s="343"/>
      <c r="D22" s="344"/>
      <c r="E22" s="344"/>
      <c r="F22" s="345"/>
      <c r="G22" s="344"/>
      <c r="H22" s="344"/>
      <c r="I22" s="34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4"/>
      <c r="X22" s="214"/>
      <c r="Y22" s="214"/>
      <c r="Z22" s="212"/>
      <c r="AA22" s="215" t="e">
        <f>AA233</f>
        <v>#REF!</v>
      </c>
      <c r="AB22" s="215"/>
      <c r="AC22" s="26"/>
      <c r="AD22" s="26"/>
      <c r="AE22" s="26"/>
      <c r="AF22" s="26"/>
    </row>
    <row r="23" spans="1:32" ht="19.5" customHeight="1">
      <c r="A23" s="216"/>
      <c r="B23" s="216"/>
      <c r="C23" s="217"/>
      <c r="D23" s="22"/>
      <c r="E23" s="22"/>
      <c r="F23" s="218" t="s">
        <v>26</v>
      </c>
      <c r="G23" s="22"/>
      <c r="H23" s="23"/>
      <c r="I23" s="219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27"/>
      <c r="X23" s="27"/>
      <c r="Y23" s="27"/>
      <c r="Z23" s="23"/>
      <c r="AA23" s="23"/>
      <c r="AB23" s="28"/>
      <c r="AC23" s="26"/>
      <c r="AD23" s="26"/>
      <c r="AE23" s="26"/>
      <c r="AF23" s="26"/>
    </row>
    <row r="24" spans="1:32" ht="15" hidden="1" customHeight="1">
      <c r="A24" s="352" t="s">
        <v>27</v>
      </c>
      <c r="B24" s="352" t="s">
        <v>28</v>
      </c>
      <c r="C24" s="352" t="s">
        <v>29</v>
      </c>
      <c r="D24" s="353"/>
      <c r="E24" s="353"/>
      <c r="F24" s="354"/>
      <c r="G24" s="353"/>
      <c r="H24" s="353"/>
      <c r="I24" s="3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355" t="s">
        <v>30</v>
      </c>
      <c r="X24" s="356"/>
      <c r="Y24" s="357"/>
      <c r="Z24" s="353" t="s">
        <v>31</v>
      </c>
      <c r="AA24" s="353"/>
      <c r="AB24" s="353"/>
    </row>
    <row r="25" spans="1:32" ht="36.75" customHeight="1">
      <c r="A25" s="353"/>
      <c r="B25" s="353"/>
      <c r="C25" s="52" t="s">
        <v>32</v>
      </c>
      <c r="D25" s="149" t="s">
        <v>33</v>
      </c>
      <c r="E25" s="166" t="s">
        <v>34</v>
      </c>
      <c r="F25" s="30" t="s">
        <v>35</v>
      </c>
      <c r="G25" s="166" t="s">
        <v>36</v>
      </c>
      <c r="H25" s="166" t="s">
        <v>37</v>
      </c>
      <c r="I25" s="50" t="s">
        <v>38</v>
      </c>
      <c r="J25" s="30" t="s">
        <v>39</v>
      </c>
      <c r="K25" s="30" t="s">
        <v>40</v>
      </c>
      <c r="L25" s="30" t="s">
        <v>41</v>
      </c>
      <c r="M25" s="30" t="s">
        <v>42</v>
      </c>
      <c r="N25" s="30" t="s">
        <v>43</v>
      </c>
      <c r="O25" s="30" t="s">
        <v>44</v>
      </c>
      <c r="P25" s="30" t="s">
        <v>45</v>
      </c>
      <c r="Q25" s="143" t="s">
        <v>46</v>
      </c>
      <c r="R25" s="30" t="s">
        <v>47</v>
      </c>
      <c r="S25" s="100" t="s">
        <v>48</v>
      </c>
      <c r="T25" s="220" t="s">
        <v>49</v>
      </c>
      <c r="U25" s="220" t="s">
        <v>50</v>
      </c>
      <c r="V25" s="220" t="s">
        <v>51</v>
      </c>
      <c r="W25" s="29" t="s">
        <v>52</v>
      </c>
      <c r="X25" s="29" t="s">
        <v>53</v>
      </c>
      <c r="Y25" s="29" t="s">
        <v>54</v>
      </c>
      <c r="Z25" s="50" t="s">
        <v>55</v>
      </c>
      <c r="AA25" s="30" t="s">
        <v>53</v>
      </c>
      <c r="AB25" s="52" t="s">
        <v>56</v>
      </c>
    </row>
    <row r="26" spans="1:32" s="88" customFormat="1" ht="18.75" customHeight="1">
      <c r="A26" s="173"/>
      <c r="B26" s="174"/>
      <c r="C26" s="175"/>
      <c r="D26" s="176"/>
      <c r="E26" s="177"/>
      <c r="F26" s="177"/>
      <c r="G26" s="177"/>
      <c r="H26" s="178"/>
      <c r="I26" s="48"/>
      <c r="J26" s="60"/>
      <c r="K26" s="60"/>
      <c r="L26" s="103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36"/>
      <c r="X26" s="36"/>
      <c r="Y26" s="36"/>
      <c r="Z26" s="35">
        <f t="shared" ref="Z26:AB27" si="0">SUM(Z27:Z32)</f>
        <v>0</v>
      </c>
      <c r="AA26" s="35">
        <f t="shared" si="0"/>
        <v>0</v>
      </c>
      <c r="AB26" s="35">
        <f t="shared" si="0"/>
        <v>0</v>
      </c>
      <c r="AC26" s="1"/>
    </row>
    <row r="27" spans="1:32" s="88" customFormat="1">
      <c r="A27" s="167">
        <v>1</v>
      </c>
      <c r="B27" s="168" t="s">
        <v>57</v>
      </c>
      <c r="C27" s="169"/>
      <c r="D27" s="170"/>
      <c r="E27" s="171"/>
      <c r="F27" s="171"/>
      <c r="G27" s="171"/>
      <c r="H27" s="172">
        <f>SUM(H28:H33)</f>
        <v>0</v>
      </c>
      <c r="I27" s="48"/>
      <c r="J27" s="60"/>
      <c r="K27" s="60"/>
      <c r="L27" s="103"/>
      <c r="M27" s="60"/>
      <c r="N27" s="60"/>
      <c r="O27" s="60"/>
      <c r="P27" s="60"/>
      <c r="Q27" s="60"/>
      <c r="R27" s="60"/>
      <c r="S27" s="60"/>
      <c r="T27" s="60"/>
      <c r="U27" s="60"/>
      <c r="V27" s="172">
        <f>SUM(V28:V33)</f>
        <v>0</v>
      </c>
      <c r="W27" s="36"/>
      <c r="X27" s="36"/>
      <c r="Y27" s="36"/>
      <c r="Z27" s="35">
        <f t="shared" si="0"/>
        <v>0</v>
      </c>
      <c r="AA27" s="35">
        <f t="shared" si="0"/>
        <v>0</v>
      </c>
      <c r="AB27" s="35">
        <f t="shared" si="0"/>
        <v>0</v>
      </c>
      <c r="AC27" s="1"/>
    </row>
    <row r="28" spans="1:32" s="87" customFormat="1" ht="25.5">
      <c r="A28" s="37" t="s">
        <v>58</v>
      </c>
      <c r="B28" s="38" t="s">
        <v>59</v>
      </c>
      <c r="C28" s="61" t="s">
        <v>60</v>
      </c>
      <c r="D28" s="62">
        <v>0</v>
      </c>
      <c r="E28" s="63">
        <v>206.18</v>
      </c>
      <c r="F28" s="63"/>
      <c r="G28" s="63">
        <v>167.63</v>
      </c>
      <c r="H28" s="64">
        <f t="shared" ref="H28:H33" si="1">ROUND(D28*E28,2)</f>
        <v>0</v>
      </c>
      <c r="I28" s="155" t="s">
        <v>61</v>
      </c>
      <c r="J28" s="65">
        <v>0</v>
      </c>
      <c r="K28" s="65"/>
      <c r="L28" s="65"/>
      <c r="M28" s="65"/>
      <c r="N28" s="65"/>
      <c r="O28" s="65"/>
      <c r="P28" s="65"/>
      <c r="Q28" s="65"/>
      <c r="R28" s="65"/>
      <c r="S28" s="65"/>
      <c r="T28" s="65">
        <f t="shared" ref="T28:T34" si="2">SUM(J28:S28)</f>
        <v>0</v>
      </c>
      <c r="U28" s="65">
        <f t="shared" ref="U28:U33" si="3">D28-T28</f>
        <v>0</v>
      </c>
      <c r="V28" s="65">
        <f t="shared" ref="V28:V34" si="4">U28*E28</f>
        <v>0</v>
      </c>
      <c r="W28" s="42">
        <v>0</v>
      </c>
      <c r="X28" s="42">
        <f>IF(D28=0,0,S28/D28)</f>
        <v>0</v>
      </c>
      <c r="Y28" s="43">
        <f t="shared" ref="Y28:Y34" si="5">W28+X28</f>
        <v>0</v>
      </c>
      <c r="Z28" s="96">
        <f t="shared" ref="Z28:Z34" si="6">(J28+K28+L28+M28)*E28</f>
        <v>0</v>
      </c>
      <c r="AA28" s="96">
        <f t="shared" ref="AA28:AA34" si="7">Q28*E28</f>
        <v>0</v>
      </c>
      <c r="AB28" s="96">
        <f t="shared" ref="AB28:AB34" si="8">(J28+K28+L28+M28+N28)*E28</f>
        <v>0</v>
      </c>
      <c r="AC28" s="5"/>
    </row>
    <row r="29" spans="1:32" s="87" customFormat="1">
      <c r="A29" s="37" t="s">
        <v>62</v>
      </c>
      <c r="B29" s="38" t="s">
        <v>63</v>
      </c>
      <c r="C29" s="61" t="s">
        <v>60</v>
      </c>
      <c r="D29" s="62">
        <v>0</v>
      </c>
      <c r="E29" s="63">
        <v>332.48</v>
      </c>
      <c r="F29" s="63"/>
      <c r="G29" s="63">
        <v>270.31</v>
      </c>
      <c r="H29" s="64">
        <f t="shared" si="1"/>
        <v>0</v>
      </c>
      <c r="I29" s="155" t="s">
        <v>64</v>
      </c>
      <c r="J29" s="65">
        <v>0</v>
      </c>
      <c r="K29" s="65"/>
      <c r="L29" s="65"/>
      <c r="M29" s="65"/>
      <c r="N29" s="65"/>
      <c r="O29" s="65"/>
      <c r="P29" s="65"/>
      <c r="Q29" s="65"/>
      <c r="R29" s="65"/>
      <c r="S29" s="65"/>
      <c r="T29" s="65">
        <f t="shared" si="2"/>
        <v>0</v>
      </c>
      <c r="U29" s="65">
        <f t="shared" si="3"/>
        <v>0</v>
      </c>
      <c r="V29" s="65">
        <f t="shared" si="4"/>
        <v>0</v>
      </c>
      <c r="W29" s="42">
        <v>0</v>
      </c>
      <c r="X29" s="42">
        <f t="shared" ref="X29:X34" si="9">IF(D29=0,0,S29/D29)</f>
        <v>0</v>
      </c>
      <c r="Y29" s="43">
        <f t="shared" si="5"/>
        <v>0</v>
      </c>
      <c r="Z29" s="96">
        <f t="shared" si="6"/>
        <v>0</v>
      </c>
      <c r="AA29" s="96">
        <f t="shared" si="7"/>
        <v>0</v>
      </c>
      <c r="AB29" s="96">
        <f t="shared" si="8"/>
        <v>0</v>
      </c>
      <c r="AC29" s="5"/>
    </row>
    <row r="30" spans="1:32" s="87" customFormat="1">
      <c r="A30" s="37" t="s">
        <v>65</v>
      </c>
      <c r="B30" s="38" t="s">
        <v>66</v>
      </c>
      <c r="C30" s="61" t="s">
        <v>60</v>
      </c>
      <c r="D30" s="62">
        <v>0</v>
      </c>
      <c r="E30" s="63">
        <v>5.04</v>
      </c>
      <c r="F30" s="63"/>
      <c r="G30" s="63">
        <v>4.0999999999999996</v>
      </c>
      <c r="H30" s="64">
        <f t="shared" si="1"/>
        <v>0</v>
      </c>
      <c r="I30" s="155" t="s">
        <v>67</v>
      </c>
      <c r="J30" s="65">
        <v>0</v>
      </c>
      <c r="K30" s="65"/>
      <c r="L30" s="65"/>
      <c r="M30" s="65"/>
      <c r="N30" s="65"/>
      <c r="O30" s="65"/>
      <c r="P30" s="65"/>
      <c r="Q30" s="65"/>
      <c r="R30" s="65"/>
      <c r="S30" s="65"/>
      <c r="T30" s="65">
        <f t="shared" si="2"/>
        <v>0</v>
      </c>
      <c r="U30" s="65">
        <f t="shared" si="3"/>
        <v>0</v>
      </c>
      <c r="V30" s="65">
        <f t="shared" si="4"/>
        <v>0</v>
      </c>
      <c r="W30" s="42">
        <v>0</v>
      </c>
      <c r="X30" s="42">
        <f t="shared" si="9"/>
        <v>0</v>
      </c>
      <c r="Y30" s="43">
        <f t="shared" si="5"/>
        <v>0</v>
      </c>
      <c r="Z30" s="96">
        <f t="shared" si="6"/>
        <v>0</v>
      </c>
      <c r="AA30" s="96">
        <f t="shared" si="7"/>
        <v>0</v>
      </c>
      <c r="AB30" s="96">
        <f t="shared" si="8"/>
        <v>0</v>
      </c>
      <c r="AC30" s="5"/>
    </row>
    <row r="31" spans="1:32" s="87" customFormat="1">
      <c r="A31" s="37" t="s">
        <v>68</v>
      </c>
      <c r="B31" s="38" t="s">
        <v>69</v>
      </c>
      <c r="C31" s="61" t="s">
        <v>70</v>
      </c>
      <c r="D31" s="62">
        <v>0</v>
      </c>
      <c r="E31" s="63">
        <v>252.86</v>
      </c>
      <c r="F31" s="63"/>
      <c r="G31" s="63">
        <v>205.58</v>
      </c>
      <c r="H31" s="64">
        <f t="shared" si="1"/>
        <v>0</v>
      </c>
      <c r="I31" s="155" t="s">
        <v>71</v>
      </c>
      <c r="J31" s="65">
        <v>0</v>
      </c>
      <c r="K31" s="65"/>
      <c r="L31" s="65"/>
      <c r="M31" s="65"/>
      <c r="N31" s="65"/>
      <c r="O31" s="65"/>
      <c r="P31" s="65"/>
      <c r="Q31" s="65"/>
      <c r="R31" s="65"/>
      <c r="S31" s="65"/>
      <c r="T31" s="65">
        <f t="shared" si="2"/>
        <v>0</v>
      </c>
      <c r="U31" s="65">
        <f t="shared" si="3"/>
        <v>0</v>
      </c>
      <c r="V31" s="65">
        <f t="shared" si="4"/>
        <v>0</v>
      </c>
      <c r="W31" s="42">
        <v>0</v>
      </c>
      <c r="X31" s="42">
        <f t="shared" si="9"/>
        <v>0</v>
      </c>
      <c r="Y31" s="43">
        <f t="shared" si="5"/>
        <v>0</v>
      </c>
      <c r="Z31" s="96">
        <f t="shared" si="6"/>
        <v>0</v>
      </c>
      <c r="AA31" s="96">
        <f t="shared" si="7"/>
        <v>0</v>
      </c>
      <c r="AB31" s="96">
        <f t="shared" si="8"/>
        <v>0</v>
      </c>
      <c r="AC31" s="5"/>
    </row>
    <row r="32" spans="1:32" s="87" customFormat="1">
      <c r="A32" s="37" t="s">
        <v>72</v>
      </c>
      <c r="B32" s="38" t="s">
        <v>73</v>
      </c>
      <c r="C32" s="61" t="s">
        <v>70</v>
      </c>
      <c r="D32" s="62">
        <v>0</v>
      </c>
      <c r="E32" s="63">
        <v>1458.04</v>
      </c>
      <c r="F32" s="63"/>
      <c r="G32" s="63">
        <v>1185.4000000000001</v>
      </c>
      <c r="H32" s="64">
        <f t="shared" si="1"/>
        <v>0</v>
      </c>
      <c r="I32" s="155" t="s">
        <v>74</v>
      </c>
      <c r="J32" s="65">
        <v>0</v>
      </c>
      <c r="K32" s="65"/>
      <c r="L32" s="65"/>
      <c r="M32" s="65"/>
      <c r="N32" s="65"/>
      <c r="O32" s="65"/>
      <c r="P32" s="65"/>
      <c r="Q32" s="65"/>
      <c r="R32" s="65"/>
      <c r="S32" s="65"/>
      <c r="T32" s="65">
        <f t="shared" si="2"/>
        <v>0</v>
      </c>
      <c r="U32" s="65">
        <f t="shared" si="3"/>
        <v>0</v>
      </c>
      <c r="V32" s="65">
        <f t="shared" si="4"/>
        <v>0</v>
      </c>
      <c r="W32" s="42">
        <v>0</v>
      </c>
      <c r="X32" s="42">
        <f t="shared" si="9"/>
        <v>0</v>
      </c>
      <c r="Y32" s="43">
        <f t="shared" si="5"/>
        <v>0</v>
      </c>
      <c r="Z32" s="96">
        <f t="shared" si="6"/>
        <v>0</v>
      </c>
      <c r="AA32" s="96">
        <f t="shared" si="7"/>
        <v>0</v>
      </c>
      <c r="AB32" s="96">
        <f t="shared" si="8"/>
        <v>0</v>
      </c>
      <c r="AC32" s="5"/>
    </row>
    <row r="33" spans="1:29" s="87" customFormat="1">
      <c r="A33" s="37" t="s">
        <v>75</v>
      </c>
      <c r="B33" s="38" t="s">
        <v>76</v>
      </c>
      <c r="C33" s="61" t="s">
        <v>70</v>
      </c>
      <c r="D33" s="62">
        <v>0</v>
      </c>
      <c r="E33" s="63">
        <v>1106.6600000000001</v>
      </c>
      <c r="F33" s="63"/>
      <c r="G33" s="63">
        <v>899.72</v>
      </c>
      <c r="H33" s="64">
        <f t="shared" si="1"/>
        <v>0</v>
      </c>
      <c r="I33" s="155" t="s">
        <v>77</v>
      </c>
      <c r="J33" s="65">
        <v>0</v>
      </c>
      <c r="K33" s="65"/>
      <c r="L33" s="65"/>
      <c r="M33" s="65"/>
      <c r="N33" s="65"/>
      <c r="O33" s="65"/>
      <c r="P33" s="65"/>
      <c r="Q33" s="65"/>
      <c r="R33" s="65"/>
      <c r="S33" s="65"/>
      <c r="T33" s="65">
        <f t="shared" si="2"/>
        <v>0</v>
      </c>
      <c r="U33" s="65">
        <f t="shared" si="3"/>
        <v>0</v>
      </c>
      <c r="V33" s="65">
        <f t="shared" si="4"/>
        <v>0</v>
      </c>
      <c r="W33" s="42">
        <v>0</v>
      </c>
      <c r="X33" s="42">
        <f t="shared" si="9"/>
        <v>0</v>
      </c>
      <c r="Y33" s="43">
        <f t="shared" si="5"/>
        <v>0</v>
      </c>
      <c r="Z33" s="96">
        <f t="shared" si="6"/>
        <v>0</v>
      </c>
      <c r="AA33" s="96">
        <f t="shared" si="7"/>
        <v>0</v>
      </c>
      <c r="AB33" s="96">
        <f t="shared" si="8"/>
        <v>0</v>
      </c>
      <c r="AC33" s="5"/>
    </row>
    <row r="34" spans="1:29" s="87" customFormat="1">
      <c r="A34" s="179"/>
      <c r="B34" s="179"/>
      <c r="C34" s="179"/>
      <c r="D34" s="58"/>
      <c r="E34" s="63"/>
      <c r="F34" s="180"/>
      <c r="G34" s="63">
        <v>0</v>
      </c>
      <c r="H34" s="59"/>
      <c r="I34" s="181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65">
        <f t="shared" si="2"/>
        <v>0</v>
      </c>
      <c r="U34" s="79"/>
      <c r="V34" s="65">
        <f t="shared" si="4"/>
        <v>0</v>
      </c>
      <c r="W34" s="42">
        <v>0</v>
      </c>
      <c r="X34" s="42">
        <f t="shared" si="9"/>
        <v>0</v>
      </c>
      <c r="Y34" s="43">
        <f t="shared" si="5"/>
        <v>0</v>
      </c>
      <c r="Z34" s="96">
        <f t="shared" si="6"/>
        <v>0</v>
      </c>
      <c r="AA34" s="96">
        <f t="shared" si="7"/>
        <v>0</v>
      </c>
      <c r="AB34" s="96">
        <f t="shared" si="8"/>
        <v>0</v>
      </c>
    </row>
    <row r="35" spans="1:29" s="88" customFormat="1">
      <c r="A35" s="53">
        <v>2</v>
      </c>
      <c r="B35" s="31" t="s">
        <v>78</v>
      </c>
      <c r="C35" s="32"/>
      <c r="D35" s="33"/>
      <c r="E35" s="34">
        <v>0</v>
      </c>
      <c r="F35" s="34"/>
      <c r="G35" s="34">
        <v>0</v>
      </c>
      <c r="H35" s="35">
        <f>SUM(H36:H40)</f>
        <v>15335.31</v>
      </c>
      <c r="I35" s="48"/>
      <c r="J35" s="60"/>
      <c r="K35" s="60"/>
      <c r="L35" s="103"/>
      <c r="M35" s="60"/>
      <c r="N35" s="60"/>
      <c r="O35" s="60"/>
      <c r="P35" s="60"/>
      <c r="Q35" s="60"/>
      <c r="R35" s="103"/>
      <c r="S35" s="60"/>
      <c r="T35" s="60"/>
      <c r="U35" s="60"/>
      <c r="V35" s="35">
        <f>SUM(V36:V40)</f>
        <v>58.349500000001207</v>
      </c>
      <c r="W35" s="36"/>
      <c r="X35" s="36"/>
      <c r="Y35" s="36"/>
      <c r="Z35" s="35">
        <f>SUM(Z36:Z40)</f>
        <v>15276.960000000001</v>
      </c>
      <c r="AA35" s="35">
        <f>SUM(AA36:AA40)</f>
        <v>0</v>
      </c>
      <c r="AB35" s="35">
        <f>SUM(AB36:AB40)</f>
        <v>15276.960000000001</v>
      </c>
      <c r="AC35" s="1"/>
    </row>
    <row r="36" spans="1:29" s="87" customFormat="1">
      <c r="A36" s="130" t="s">
        <v>79</v>
      </c>
      <c r="B36" s="188" t="s">
        <v>80</v>
      </c>
      <c r="C36" s="189" t="s">
        <v>81</v>
      </c>
      <c r="D36" s="62">
        <v>0</v>
      </c>
      <c r="E36" s="63">
        <v>45.01</v>
      </c>
      <c r="F36" s="190"/>
      <c r="G36" s="63">
        <v>36.590000000000003</v>
      </c>
      <c r="H36" s="64">
        <f>ROUND(D36*E36,2)</f>
        <v>0</v>
      </c>
      <c r="I36" s="191" t="s">
        <v>82</v>
      </c>
      <c r="J36" s="65">
        <v>0</v>
      </c>
      <c r="K36" s="65"/>
      <c r="L36" s="65"/>
      <c r="M36" s="65"/>
      <c r="N36" s="65"/>
      <c r="O36" s="65"/>
      <c r="P36" s="65"/>
      <c r="Q36" s="65"/>
      <c r="R36" s="65"/>
      <c r="S36" s="65"/>
      <c r="T36" s="65">
        <f t="shared" ref="T36:T41" si="10">SUM(J36:S36)</f>
        <v>0</v>
      </c>
      <c r="U36" s="65">
        <f>D36-T36</f>
        <v>0</v>
      </c>
      <c r="V36" s="65">
        <f t="shared" ref="V36:V41" si="11">U36*E36</f>
        <v>0</v>
      </c>
      <c r="W36" s="42">
        <v>0</v>
      </c>
      <c r="X36" s="42">
        <f t="shared" ref="X36:X41" si="12">IF(D36=0,0,S36/D36)</f>
        <v>0</v>
      </c>
      <c r="Y36" s="43">
        <f t="shared" ref="Y36:Y41" si="13">W36+X36</f>
        <v>0</v>
      </c>
      <c r="Z36" s="96">
        <f>(J36+K36+L36+M36)*E36</f>
        <v>0</v>
      </c>
      <c r="AA36" s="96">
        <f>Q36*E36</f>
        <v>0</v>
      </c>
      <c r="AB36" s="96">
        <f>(J36+K36+L36+M36+N36)*E36</f>
        <v>0</v>
      </c>
      <c r="AC36" s="5"/>
    </row>
    <row r="37" spans="1:29" ht="25.5">
      <c r="A37" s="37" t="s">
        <v>83</v>
      </c>
      <c r="B37" s="38" t="s">
        <v>84</v>
      </c>
      <c r="C37" s="37" t="s">
        <v>81</v>
      </c>
      <c r="D37" s="39">
        <v>144.55000000000001</v>
      </c>
      <c r="E37" s="40">
        <v>106.09</v>
      </c>
      <c r="F37" s="39">
        <f>U37</f>
        <v>0.55000000000001137</v>
      </c>
      <c r="G37" s="40">
        <v>86.25</v>
      </c>
      <c r="H37" s="41">
        <f>ROUND(D37*E37,2)</f>
        <v>15335.31</v>
      </c>
      <c r="I37" s="154" t="s">
        <v>85</v>
      </c>
      <c r="J37" s="65">
        <v>144</v>
      </c>
      <c r="K37" s="65"/>
      <c r="L37" s="65"/>
      <c r="M37" s="65"/>
      <c r="N37" s="65"/>
      <c r="O37" s="65"/>
      <c r="P37" s="65"/>
      <c r="Q37" s="65"/>
      <c r="R37" s="65"/>
      <c r="S37" s="65"/>
      <c r="T37" s="65">
        <f t="shared" si="10"/>
        <v>144</v>
      </c>
      <c r="U37" s="65">
        <f>D37-T37</f>
        <v>0.55000000000001137</v>
      </c>
      <c r="V37" s="65">
        <f t="shared" si="11"/>
        <v>58.349500000001207</v>
      </c>
      <c r="W37" s="42">
        <f>(SUM(J37:R37))/D37</f>
        <v>0.99619508820477332</v>
      </c>
      <c r="X37" s="42">
        <f t="shared" si="12"/>
        <v>0</v>
      </c>
      <c r="Y37" s="43">
        <f>W37+X37</f>
        <v>0.99619508820477332</v>
      </c>
      <c r="Z37" s="96">
        <f>(J37+K37+L37+M37+N37)*E37</f>
        <v>15276.960000000001</v>
      </c>
      <c r="AA37" s="96">
        <f>S37*G37</f>
        <v>0</v>
      </c>
      <c r="AB37" s="96">
        <f>(J37+K37+L37+M37+N37+O37)*E37</f>
        <v>15276.960000000001</v>
      </c>
      <c r="AC37" s="5"/>
    </row>
    <row r="38" spans="1:29" s="87" customFormat="1" ht="25.5">
      <c r="A38" s="192" t="s">
        <v>86</v>
      </c>
      <c r="B38" s="193" t="s">
        <v>87</v>
      </c>
      <c r="C38" s="194" t="s">
        <v>81</v>
      </c>
      <c r="D38" s="62">
        <v>0</v>
      </c>
      <c r="E38" s="63">
        <v>38.590000000000003</v>
      </c>
      <c r="F38" s="195"/>
      <c r="G38" s="63">
        <v>31.37</v>
      </c>
      <c r="H38" s="64">
        <f>ROUND(D38*E38,2)</f>
        <v>0</v>
      </c>
      <c r="I38" s="196" t="s">
        <v>88</v>
      </c>
      <c r="J38" s="65">
        <v>0</v>
      </c>
      <c r="K38" s="65"/>
      <c r="L38" s="65"/>
      <c r="M38" s="65"/>
      <c r="N38" s="65"/>
      <c r="O38" s="65"/>
      <c r="P38" s="65"/>
      <c r="Q38" s="65"/>
      <c r="R38" s="65"/>
      <c r="S38" s="65"/>
      <c r="T38" s="65">
        <f t="shared" si="10"/>
        <v>0</v>
      </c>
      <c r="U38" s="65">
        <f>D38-T38</f>
        <v>0</v>
      </c>
      <c r="V38" s="65">
        <f t="shared" si="11"/>
        <v>0</v>
      </c>
      <c r="W38" s="42">
        <v>0</v>
      </c>
      <c r="X38" s="42">
        <f t="shared" si="12"/>
        <v>0</v>
      </c>
      <c r="Y38" s="43">
        <f t="shared" si="13"/>
        <v>0</v>
      </c>
      <c r="Z38" s="96">
        <f>(J38+K38+L38+M38)*E38</f>
        <v>0</v>
      </c>
      <c r="AA38" s="96">
        <f>Q38*E38</f>
        <v>0</v>
      </c>
      <c r="AB38" s="96">
        <f>(J38+K38+L38+M38+N38)*E38</f>
        <v>0</v>
      </c>
      <c r="AC38" s="5"/>
    </row>
    <row r="39" spans="1:29" s="87" customFormat="1">
      <c r="A39" s="37" t="s">
        <v>89</v>
      </c>
      <c r="B39" s="38" t="s">
        <v>90</v>
      </c>
      <c r="C39" s="61" t="s">
        <v>81</v>
      </c>
      <c r="D39" s="62">
        <v>0</v>
      </c>
      <c r="E39" s="63">
        <v>18.55</v>
      </c>
      <c r="F39" s="63"/>
      <c r="G39" s="63">
        <v>15.08</v>
      </c>
      <c r="H39" s="64">
        <f>ROUND(D39*E39,2)</f>
        <v>0</v>
      </c>
      <c r="I39" s="155">
        <v>72897</v>
      </c>
      <c r="J39" s="65">
        <v>0</v>
      </c>
      <c r="K39" s="65"/>
      <c r="L39" s="65"/>
      <c r="M39" s="65"/>
      <c r="N39" s="65"/>
      <c r="O39" s="65"/>
      <c r="P39" s="65"/>
      <c r="Q39" s="65"/>
      <c r="R39" s="65"/>
      <c r="S39" s="65"/>
      <c r="T39" s="65">
        <f t="shared" si="10"/>
        <v>0</v>
      </c>
      <c r="U39" s="65">
        <f>D39-T39</f>
        <v>0</v>
      </c>
      <c r="V39" s="65">
        <f t="shared" si="11"/>
        <v>0</v>
      </c>
      <c r="W39" s="42">
        <v>0</v>
      </c>
      <c r="X39" s="42">
        <f t="shared" si="12"/>
        <v>0</v>
      </c>
      <c r="Y39" s="43">
        <f t="shared" si="13"/>
        <v>0</v>
      </c>
      <c r="Z39" s="96">
        <f>(J39+K39+L39+M39)*E39</f>
        <v>0</v>
      </c>
      <c r="AA39" s="96">
        <f>Q39*E39</f>
        <v>0</v>
      </c>
      <c r="AB39" s="96">
        <f>(J39+K39+L39+M39+N39)*E39</f>
        <v>0</v>
      </c>
      <c r="AC39" s="5"/>
    </row>
    <row r="40" spans="1:29" s="87" customFormat="1" ht="25.5">
      <c r="A40" s="37" t="s">
        <v>91</v>
      </c>
      <c r="B40" s="38" t="s">
        <v>92</v>
      </c>
      <c r="C40" s="61" t="s">
        <v>81</v>
      </c>
      <c r="D40" s="62">
        <v>0</v>
      </c>
      <c r="E40" s="63">
        <v>29.09</v>
      </c>
      <c r="F40" s="63"/>
      <c r="G40" s="63">
        <v>23.65</v>
      </c>
      <c r="H40" s="64">
        <f>ROUND(D40*E40,2)</f>
        <v>0</v>
      </c>
      <c r="I40" s="155" t="s">
        <v>93</v>
      </c>
      <c r="J40" s="65">
        <v>0</v>
      </c>
      <c r="K40" s="65"/>
      <c r="L40" s="65"/>
      <c r="M40" s="65"/>
      <c r="N40" s="65"/>
      <c r="O40" s="65"/>
      <c r="P40" s="65"/>
      <c r="Q40" s="65"/>
      <c r="R40" s="65"/>
      <c r="S40" s="65"/>
      <c r="T40" s="65">
        <f t="shared" si="10"/>
        <v>0</v>
      </c>
      <c r="U40" s="65">
        <f>D40-T40</f>
        <v>0</v>
      </c>
      <c r="V40" s="65">
        <f t="shared" si="11"/>
        <v>0</v>
      </c>
      <c r="W40" s="42">
        <v>0</v>
      </c>
      <c r="X40" s="42">
        <f t="shared" si="12"/>
        <v>0</v>
      </c>
      <c r="Y40" s="43">
        <f t="shared" si="13"/>
        <v>0</v>
      </c>
      <c r="Z40" s="96">
        <f>(J40+K40+L40+M40)*E40</f>
        <v>0</v>
      </c>
      <c r="AA40" s="96">
        <f>Q40*E40</f>
        <v>0</v>
      </c>
      <c r="AB40" s="96">
        <f>(J40+K40+L40+M40+N40)*E40</f>
        <v>0</v>
      </c>
      <c r="AC40" s="5"/>
    </row>
    <row r="41" spans="1:29" s="87" customFormat="1">
      <c r="A41" s="57"/>
      <c r="B41" s="57"/>
      <c r="C41" s="57"/>
      <c r="D41" s="58"/>
      <c r="E41" s="63"/>
      <c r="F41" s="63"/>
      <c r="G41" s="63">
        <v>0</v>
      </c>
      <c r="H41" s="59"/>
      <c r="I41" s="161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>
        <f t="shared" si="10"/>
        <v>0</v>
      </c>
      <c r="U41" s="65"/>
      <c r="V41" s="65">
        <f t="shared" si="11"/>
        <v>0</v>
      </c>
      <c r="W41" s="42">
        <v>0</v>
      </c>
      <c r="X41" s="42">
        <f t="shared" si="12"/>
        <v>0</v>
      </c>
      <c r="Y41" s="43">
        <f t="shared" si="13"/>
        <v>0</v>
      </c>
      <c r="Z41" s="96">
        <f>(J41+K41+L41+M41)*E41</f>
        <v>0</v>
      </c>
      <c r="AA41" s="96">
        <f>Q41*E41</f>
        <v>0</v>
      </c>
      <c r="AB41" s="96">
        <f>(J41+K41+L41+M41+N41)*E41</f>
        <v>0</v>
      </c>
    </row>
    <row r="42" spans="1:29" s="89" customFormat="1">
      <c r="A42" s="53">
        <v>3</v>
      </c>
      <c r="B42" s="31" t="s">
        <v>94</v>
      </c>
      <c r="C42" s="32"/>
      <c r="D42" s="66"/>
      <c r="E42" s="67">
        <v>0</v>
      </c>
      <c r="F42" s="67"/>
      <c r="G42" s="67">
        <v>0</v>
      </c>
      <c r="H42" s="68">
        <f>H43+H48</f>
        <v>0</v>
      </c>
      <c r="I42" s="162"/>
      <c r="J42" s="60"/>
      <c r="K42" s="60"/>
      <c r="L42" s="103"/>
      <c r="M42" s="60"/>
      <c r="N42" s="60"/>
      <c r="O42" s="60"/>
      <c r="P42" s="60"/>
      <c r="Q42" s="60"/>
      <c r="R42" s="60"/>
      <c r="S42" s="60"/>
      <c r="T42" s="60"/>
      <c r="U42" s="60"/>
      <c r="V42" s="68">
        <f>V43+V48</f>
        <v>0</v>
      </c>
      <c r="W42" s="68"/>
      <c r="X42" s="138"/>
      <c r="Y42" s="68"/>
      <c r="Z42" s="68">
        <f>Z43+Z48</f>
        <v>0</v>
      </c>
      <c r="AA42" s="68">
        <f>AA43+AA48</f>
        <v>0</v>
      </c>
      <c r="AB42" s="68">
        <f>AB43+AB48</f>
        <v>0</v>
      </c>
      <c r="AC42" s="106">
        <f>Z35+Z53+Z65+Z72+Z72+Z76+Z82+Z89+Z96+Z106+Z149+Z172+Z179+Z211+Z219</f>
        <v>334000.92942500004</v>
      </c>
    </row>
    <row r="43" spans="1:29" s="89" customFormat="1">
      <c r="A43" s="53" t="s">
        <v>95</v>
      </c>
      <c r="B43" s="31" t="s">
        <v>96</v>
      </c>
      <c r="C43" s="32"/>
      <c r="D43" s="66"/>
      <c r="E43" s="67">
        <v>0</v>
      </c>
      <c r="F43" s="67"/>
      <c r="G43" s="67">
        <v>0</v>
      </c>
      <c r="H43" s="68">
        <f>SUM(H44:H46)</f>
        <v>0</v>
      </c>
      <c r="I43" s="162"/>
      <c r="J43" s="60"/>
      <c r="K43" s="60"/>
      <c r="L43" s="103"/>
      <c r="M43" s="60"/>
      <c r="N43" s="60"/>
      <c r="O43" s="60"/>
      <c r="P43" s="60"/>
      <c r="Q43" s="60"/>
      <c r="R43" s="60"/>
      <c r="S43" s="60"/>
      <c r="T43" s="60"/>
      <c r="U43" s="60"/>
      <c r="V43" s="68">
        <f>SUM(V44:V46)</f>
        <v>0</v>
      </c>
      <c r="W43" s="68"/>
      <c r="X43" s="138"/>
      <c r="Y43" s="68"/>
      <c r="Z43" s="68">
        <f>SUM(Z44:Z46)</f>
        <v>0</v>
      </c>
      <c r="AA43" s="68">
        <f>SUM(AA44:AA46)</f>
        <v>0</v>
      </c>
      <c r="AB43" s="68">
        <f>SUM(AB44:AB46)</f>
        <v>0</v>
      </c>
      <c r="AC43" s="1"/>
    </row>
    <row r="44" spans="1:29" s="87" customFormat="1" ht="25.5">
      <c r="A44" s="37" t="s">
        <v>97</v>
      </c>
      <c r="B44" s="38" t="s">
        <v>98</v>
      </c>
      <c r="C44" s="61" t="s">
        <v>60</v>
      </c>
      <c r="D44" s="62">
        <v>0</v>
      </c>
      <c r="E44" s="63">
        <v>18.09</v>
      </c>
      <c r="F44" s="63"/>
      <c r="G44" s="63">
        <v>14.71</v>
      </c>
      <c r="H44" s="64">
        <f>ROUND(D44*E44,2)</f>
        <v>0</v>
      </c>
      <c r="I44" s="155" t="s">
        <v>99</v>
      </c>
      <c r="J44" s="65">
        <v>0</v>
      </c>
      <c r="K44" s="65"/>
      <c r="L44" s="65"/>
      <c r="M44" s="65"/>
      <c r="N44" s="65"/>
      <c r="O44" s="65"/>
      <c r="P44" s="65"/>
      <c r="Q44" s="65"/>
      <c r="R44" s="65"/>
      <c r="S44" s="65"/>
      <c r="T44" s="65">
        <f>SUM(J44:S44)</f>
        <v>0</v>
      </c>
      <c r="U44" s="65">
        <f>D44-T44</f>
        <v>0</v>
      </c>
      <c r="V44" s="65">
        <f>U44*E44</f>
        <v>0</v>
      </c>
      <c r="W44" s="42">
        <v>0</v>
      </c>
      <c r="X44" s="42">
        <f>IF(D44=0,0,S44/D44)</f>
        <v>0</v>
      </c>
      <c r="Y44" s="43">
        <f>W44+X44</f>
        <v>0</v>
      </c>
      <c r="Z44" s="96">
        <f>(J44+K44+L44+M44)*E44</f>
        <v>0</v>
      </c>
      <c r="AA44" s="96">
        <f>Q44*E44</f>
        <v>0</v>
      </c>
      <c r="AB44" s="96">
        <f>(J44+K44+L44+M44+N44)*E44</f>
        <v>0</v>
      </c>
      <c r="AC44" s="5"/>
    </row>
    <row r="45" spans="1:29" s="87" customFormat="1" ht="25.5">
      <c r="A45" s="37" t="s">
        <v>100</v>
      </c>
      <c r="B45" s="38" t="s">
        <v>101</v>
      </c>
      <c r="C45" s="61" t="s">
        <v>60</v>
      </c>
      <c r="D45" s="62">
        <v>0</v>
      </c>
      <c r="E45" s="63">
        <v>49.34</v>
      </c>
      <c r="F45" s="63"/>
      <c r="G45" s="63">
        <v>40.11</v>
      </c>
      <c r="H45" s="64">
        <f>ROUND(D45*E45,2)</f>
        <v>0</v>
      </c>
      <c r="I45" s="155" t="s">
        <v>102</v>
      </c>
      <c r="J45" s="65">
        <v>0</v>
      </c>
      <c r="K45" s="65"/>
      <c r="L45" s="65"/>
      <c r="M45" s="65"/>
      <c r="N45" s="65"/>
      <c r="O45" s="65"/>
      <c r="P45" s="65"/>
      <c r="Q45" s="65"/>
      <c r="R45" s="65"/>
      <c r="S45" s="65"/>
      <c r="T45" s="65">
        <f>SUM(J45:S45)</f>
        <v>0</v>
      </c>
      <c r="U45" s="65">
        <f>D45-T45</f>
        <v>0</v>
      </c>
      <c r="V45" s="65">
        <f>U45*E45</f>
        <v>0</v>
      </c>
      <c r="W45" s="42">
        <v>0</v>
      </c>
      <c r="X45" s="42">
        <f>IF(D45=0,0,S45/D45)</f>
        <v>0</v>
      </c>
      <c r="Y45" s="43">
        <f>W45+X45</f>
        <v>0</v>
      </c>
      <c r="Z45" s="96">
        <f>(J45+K45+L45+M45)*E45</f>
        <v>0</v>
      </c>
      <c r="AA45" s="96">
        <f>Q45*E45</f>
        <v>0</v>
      </c>
      <c r="AB45" s="96">
        <f>(J45+K45+L45+M45+N45)*E45</f>
        <v>0</v>
      </c>
      <c r="AC45" s="5"/>
    </row>
    <row r="46" spans="1:29" s="87" customFormat="1" ht="25.5">
      <c r="A46" s="37" t="s">
        <v>103</v>
      </c>
      <c r="B46" s="38" t="s">
        <v>104</v>
      </c>
      <c r="C46" s="61" t="s">
        <v>81</v>
      </c>
      <c r="D46" s="62">
        <v>0</v>
      </c>
      <c r="E46" s="63">
        <v>1623.61</v>
      </c>
      <c r="F46" s="63"/>
      <c r="G46" s="63">
        <v>1320.01</v>
      </c>
      <c r="H46" s="64">
        <f>ROUND(D46*E46,2)</f>
        <v>0</v>
      </c>
      <c r="I46" s="155" t="s">
        <v>105</v>
      </c>
      <c r="J46" s="65">
        <v>0</v>
      </c>
      <c r="K46" s="65"/>
      <c r="L46" s="65"/>
      <c r="M46" s="65"/>
      <c r="N46" s="65"/>
      <c r="O46" s="65"/>
      <c r="P46" s="65"/>
      <c r="Q46" s="65"/>
      <c r="R46" s="65"/>
      <c r="S46" s="65"/>
      <c r="T46" s="65">
        <f>SUM(J46:S46)</f>
        <v>0</v>
      </c>
      <c r="U46" s="65">
        <f>D46-T46</f>
        <v>0</v>
      </c>
      <c r="V46" s="65">
        <f>U46*E46</f>
        <v>0</v>
      </c>
      <c r="W46" s="42">
        <v>0</v>
      </c>
      <c r="X46" s="42">
        <f>IF(D46=0,0,S46/D46)</f>
        <v>0</v>
      </c>
      <c r="Y46" s="43">
        <f>W46+X46</f>
        <v>0</v>
      </c>
      <c r="Z46" s="96">
        <f>(J46+K46+L46+M46)*E46</f>
        <v>0</v>
      </c>
      <c r="AA46" s="96">
        <f>Q46*E46</f>
        <v>0</v>
      </c>
      <c r="AB46" s="96">
        <f>(J46+K46+L46+M46+N46)*E46</f>
        <v>0</v>
      </c>
      <c r="AC46" s="5"/>
    </row>
    <row r="47" spans="1:29" s="87" customFormat="1">
      <c r="A47" s="57"/>
      <c r="B47" s="57"/>
      <c r="C47" s="57"/>
      <c r="D47" s="58"/>
      <c r="E47" s="63"/>
      <c r="F47" s="63"/>
      <c r="G47" s="63">
        <v>0</v>
      </c>
      <c r="H47" s="59"/>
      <c r="I47" s="161"/>
      <c r="J47" s="65">
        <v>0</v>
      </c>
      <c r="K47" s="65"/>
      <c r="L47" s="65"/>
      <c r="M47" s="65"/>
      <c r="N47" s="65"/>
      <c r="O47" s="65"/>
      <c r="P47" s="65"/>
      <c r="Q47" s="65"/>
      <c r="R47" s="65"/>
      <c r="S47" s="65"/>
      <c r="T47" s="65">
        <f>SUM(J47:S47)</f>
        <v>0</v>
      </c>
      <c r="U47" s="65"/>
      <c r="V47" s="65">
        <f>U47*E47</f>
        <v>0</v>
      </c>
      <c r="W47" s="42">
        <v>0</v>
      </c>
      <c r="X47" s="42">
        <f>IF(D47=0,0,S47/D47)</f>
        <v>0</v>
      </c>
      <c r="Y47" s="43">
        <f>W47+X47</f>
        <v>0</v>
      </c>
      <c r="Z47" s="96">
        <f>(J47+K47+L47+M47)*E47</f>
        <v>0</v>
      </c>
      <c r="AA47" s="96">
        <f>Q47*E47</f>
        <v>0</v>
      </c>
      <c r="AB47" s="96">
        <f>(J47+K47+L47+M47+N47)*E47</f>
        <v>0</v>
      </c>
    </row>
    <row r="48" spans="1:29" s="89" customFormat="1">
      <c r="A48" s="69" t="s">
        <v>106</v>
      </c>
      <c r="B48" s="70" t="s">
        <v>107</v>
      </c>
      <c r="C48" s="71"/>
      <c r="D48" s="72"/>
      <c r="E48" s="67">
        <v>0</v>
      </c>
      <c r="F48" s="67"/>
      <c r="G48" s="67">
        <v>0</v>
      </c>
      <c r="H48" s="73">
        <f>SUM(H49:H51)</f>
        <v>0</v>
      </c>
      <c r="I48" s="163"/>
      <c r="J48" s="75"/>
      <c r="K48" s="75"/>
      <c r="L48" s="104"/>
      <c r="M48" s="75"/>
      <c r="N48" s="75"/>
      <c r="O48" s="75"/>
      <c r="P48" s="75"/>
      <c r="Q48" s="75"/>
      <c r="R48" s="75"/>
      <c r="S48" s="75"/>
      <c r="T48" s="75"/>
      <c r="U48" s="75"/>
      <c r="V48" s="73">
        <f>SUM(V49:V51)</f>
        <v>0</v>
      </c>
      <c r="W48" s="73"/>
      <c r="X48" s="139"/>
      <c r="Y48" s="73"/>
      <c r="Z48" s="73">
        <f>SUM(Z49:Z51)</f>
        <v>0</v>
      </c>
      <c r="AA48" s="73">
        <f>SUM(AA49:AA51)</f>
        <v>0</v>
      </c>
      <c r="AB48" s="73">
        <f>SUM(AB49:AB51)</f>
        <v>0</v>
      </c>
      <c r="AC48" s="74"/>
    </row>
    <row r="49" spans="1:29" s="87" customFormat="1" ht="25.5">
      <c r="A49" s="37" t="s">
        <v>108</v>
      </c>
      <c r="B49" s="38" t="s">
        <v>101</v>
      </c>
      <c r="C49" s="61" t="s">
        <v>60</v>
      </c>
      <c r="D49" s="62">
        <v>0</v>
      </c>
      <c r="E49" s="63">
        <v>49.34</v>
      </c>
      <c r="F49" s="63"/>
      <c r="G49" s="63">
        <v>40.11</v>
      </c>
      <c r="H49" s="64">
        <f>ROUND(D49*E49,2)</f>
        <v>0</v>
      </c>
      <c r="I49" s="155" t="s">
        <v>102</v>
      </c>
      <c r="J49" s="65">
        <v>0</v>
      </c>
      <c r="K49" s="65">
        <v>0</v>
      </c>
      <c r="L49" s="65"/>
      <c r="M49" s="65"/>
      <c r="N49" s="65"/>
      <c r="O49" s="65"/>
      <c r="P49" s="65"/>
      <c r="Q49" s="65"/>
      <c r="R49" s="65"/>
      <c r="S49" s="65"/>
      <c r="T49" s="65">
        <f>SUM(J49:S49)</f>
        <v>0</v>
      </c>
      <c r="U49" s="65">
        <f>D49-T49</f>
        <v>0</v>
      </c>
      <c r="V49" s="65">
        <f>U49*E49</f>
        <v>0</v>
      </c>
      <c r="W49" s="42">
        <v>0</v>
      </c>
      <c r="X49" s="42">
        <f>IF(D49=0,0,S49/D49)</f>
        <v>0</v>
      </c>
      <c r="Y49" s="43">
        <f>W49+X49</f>
        <v>0</v>
      </c>
      <c r="Z49" s="96">
        <f>(J49+K49+L49+M49)*E49</f>
        <v>0</v>
      </c>
      <c r="AA49" s="96">
        <f>Q49*E49</f>
        <v>0</v>
      </c>
      <c r="AB49" s="96">
        <f>(J49+K49+L49+M49+N49)*E49</f>
        <v>0</v>
      </c>
      <c r="AC49" s="5"/>
    </row>
    <row r="50" spans="1:29" s="87" customFormat="1" ht="25.5">
      <c r="A50" s="37" t="s">
        <v>109</v>
      </c>
      <c r="B50" s="38" t="s">
        <v>104</v>
      </c>
      <c r="C50" s="61" t="s">
        <v>81</v>
      </c>
      <c r="D50" s="62">
        <v>0</v>
      </c>
      <c r="E50" s="63">
        <v>1623.61</v>
      </c>
      <c r="F50" s="63"/>
      <c r="G50" s="63">
        <v>1320.01</v>
      </c>
      <c r="H50" s="64">
        <f>ROUND(D50*E50,2)</f>
        <v>0</v>
      </c>
      <c r="I50" s="155" t="s">
        <v>105</v>
      </c>
      <c r="J50" s="65">
        <v>0</v>
      </c>
      <c r="K50" s="65">
        <v>0</v>
      </c>
      <c r="L50" s="65"/>
      <c r="M50" s="65"/>
      <c r="N50" s="65"/>
      <c r="O50" s="65"/>
      <c r="P50" s="65"/>
      <c r="Q50" s="65"/>
      <c r="R50" s="65"/>
      <c r="S50" s="65"/>
      <c r="T50" s="65">
        <f>SUM(J50:S50)</f>
        <v>0</v>
      </c>
      <c r="U50" s="65">
        <f>D50-T50</f>
        <v>0</v>
      </c>
      <c r="V50" s="65">
        <f>U50*E50</f>
        <v>0</v>
      </c>
      <c r="W50" s="42">
        <v>0</v>
      </c>
      <c r="X50" s="42">
        <f>IF(D50=0,0,S50/D50)</f>
        <v>0</v>
      </c>
      <c r="Y50" s="43">
        <f>W50+X50</f>
        <v>0</v>
      </c>
      <c r="Z50" s="96">
        <f>(J50+K50+L50+M50)*E50</f>
        <v>0</v>
      </c>
      <c r="AA50" s="96">
        <f>Q50*E50</f>
        <v>0</v>
      </c>
      <c r="AB50" s="96">
        <f>(J50+K50+L50+M50+N50)*E50</f>
        <v>0</v>
      </c>
      <c r="AC50" s="5"/>
    </row>
    <row r="51" spans="1:29" s="87" customFormat="1">
      <c r="A51" s="37" t="s">
        <v>110</v>
      </c>
      <c r="B51" s="38" t="s">
        <v>111</v>
      </c>
      <c r="C51" s="61" t="s">
        <v>60</v>
      </c>
      <c r="D51" s="62">
        <v>0</v>
      </c>
      <c r="E51" s="63">
        <v>8.27</v>
      </c>
      <c r="F51" s="63"/>
      <c r="G51" s="63">
        <v>6.72</v>
      </c>
      <c r="H51" s="64">
        <f>ROUND(D51*E51,2)</f>
        <v>0</v>
      </c>
      <c r="I51" s="155" t="s">
        <v>112</v>
      </c>
      <c r="J51" s="65">
        <v>0</v>
      </c>
      <c r="K51" s="65"/>
      <c r="L51" s="65"/>
      <c r="M51" s="65"/>
      <c r="N51" s="65"/>
      <c r="O51" s="65"/>
      <c r="P51" s="65"/>
      <c r="Q51" s="65"/>
      <c r="R51" s="65"/>
      <c r="S51" s="65"/>
      <c r="T51" s="65">
        <f>SUM(J51:S51)</f>
        <v>0</v>
      </c>
      <c r="U51" s="65">
        <f>D51-T51</f>
        <v>0</v>
      </c>
      <c r="V51" s="65">
        <f>U51*E51</f>
        <v>0</v>
      </c>
      <c r="W51" s="42">
        <v>0</v>
      </c>
      <c r="X51" s="42">
        <f>IF(D51=0,0,S51/D51)</f>
        <v>0</v>
      </c>
      <c r="Y51" s="43">
        <f>W51+X51</f>
        <v>0</v>
      </c>
      <c r="Z51" s="96">
        <f>(J51+K51+L51+M51)*E51</f>
        <v>0</v>
      </c>
      <c r="AA51" s="96">
        <f>Q51*E51</f>
        <v>0</v>
      </c>
      <c r="AB51" s="96">
        <f>(J51+K51+L51+M51+N51)*E51</f>
        <v>0</v>
      </c>
      <c r="AC51" s="5"/>
    </row>
    <row r="52" spans="1:29" s="87" customFormat="1">
      <c r="A52" s="179"/>
      <c r="B52" s="179"/>
      <c r="C52" s="179"/>
      <c r="D52" s="58"/>
      <c r="E52" s="63"/>
      <c r="F52" s="180"/>
      <c r="G52" s="63">
        <v>0</v>
      </c>
      <c r="H52" s="59"/>
      <c r="I52" s="181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>
        <f>SUM(J52:S52)</f>
        <v>0</v>
      </c>
      <c r="U52" s="65"/>
      <c r="V52" s="65">
        <f>U52*E52</f>
        <v>0</v>
      </c>
      <c r="W52" s="42">
        <v>0</v>
      </c>
      <c r="X52" s="42">
        <f>IF(D52=0,0,S52/D52)</f>
        <v>0</v>
      </c>
      <c r="Y52" s="43">
        <f>W52+X52</f>
        <v>0</v>
      </c>
      <c r="Z52" s="96">
        <f>(J52+K52+L52+M52)*E52</f>
        <v>0</v>
      </c>
      <c r="AA52" s="96">
        <f>Q52*E52</f>
        <v>0</v>
      </c>
      <c r="AB52" s="96">
        <f>(J52+K52+L52+M52+N52)*E52</f>
        <v>0</v>
      </c>
    </row>
    <row r="53" spans="1:29" s="88" customFormat="1">
      <c r="A53" s="53">
        <v>4</v>
      </c>
      <c r="B53" s="31" t="s">
        <v>113</v>
      </c>
      <c r="C53" s="32"/>
      <c r="D53" s="33"/>
      <c r="E53" s="34">
        <v>0</v>
      </c>
      <c r="F53" s="34"/>
      <c r="G53" s="34">
        <v>0</v>
      </c>
      <c r="H53" s="35">
        <f>H54+H58+H62</f>
        <v>21538.260000000002</v>
      </c>
      <c r="I53" s="48"/>
      <c r="J53" s="60"/>
      <c r="K53" s="60"/>
      <c r="L53" s="103"/>
      <c r="M53" s="60"/>
      <c r="N53" s="60"/>
      <c r="O53" s="60"/>
      <c r="P53" s="60"/>
      <c r="Q53" s="60"/>
      <c r="R53" s="103"/>
      <c r="S53" s="60"/>
      <c r="T53" s="60"/>
      <c r="U53" s="60"/>
      <c r="V53" s="35" t="e">
        <f>V54+V58+V62</f>
        <v>#REF!</v>
      </c>
      <c r="W53" s="36"/>
      <c r="X53" s="140"/>
      <c r="Y53" s="36"/>
      <c r="Z53" s="35">
        <f>Z54+Z58+Z62</f>
        <v>20472.861799999999</v>
      </c>
      <c r="AA53" s="35" t="e">
        <f>AA54+AA58+AA62</f>
        <v>#REF!</v>
      </c>
      <c r="AB53" s="35">
        <f>AB54+AB58+AB62</f>
        <v>20472.861799999999</v>
      </c>
      <c r="AC53" s="1"/>
    </row>
    <row r="54" spans="1:29" s="89" customFormat="1">
      <c r="A54" s="69" t="s">
        <v>114</v>
      </c>
      <c r="B54" s="70" t="s">
        <v>115</v>
      </c>
      <c r="C54" s="71"/>
      <c r="D54" s="66"/>
      <c r="E54" s="67">
        <v>0</v>
      </c>
      <c r="F54" s="67"/>
      <c r="G54" s="67">
        <v>0</v>
      </c>
      <c r="H54" s="73">
        <f>SUM(H55:H56)</f>
        <v>4375.04</v>
      </c>
      <c r="I54" s="163"/>
      <c r="J54" s="75"/>
      <c r="K54" s="75"/>
      <c r="L54" s="104"/>
      <c r="M54" s="75"/>
      <c r="N54" s="75"/>
      <c r="O54" s="75"/>
      <c r="P54" s="75"/>
      <c r="Q54" s="75"/>
      <c r="R54" s="104"/>
      <c r="S54" s="75"/>
      <c r="T54" s="75"/>
      <c r="U54" s="75"/>
      <c r="V54" s="73" t="e">
        <f>SUM(V55:V56)</f>
        <v>#REF!</v>
      </c>
      <c r="W54" s="75"/>
      <c r="X54" s="140"/>
      <c r="Y54" s="76">
        <f>J54</f>
        <v>0</v>
      </c>
      <c r="Z54" s="73">
        <f>SUM(Z55:Z56)</f>
        <v>3309.6412999999998</v>
      </c>
      <c r="AA54" s="73" t="e">
        <f>SUM(AA55:AA56)</f>
        <v>#REF!</v>
      </c>
      <c r="AB54" s="73">
        <f>SUM(AB55:AB56)</f>
        <v>3309.6412999999998</v>
      </c>
      <c r="AC54" s="74"/>
    </row>
    <row r="55" spans="1:29" s="87" customFormat="1" ht="25.5">
      <c r="A55" s="37" t="s">
        <v>116</v>
      </c>
      <c r="B55" s="38" t="s">
        <v>101</v>
      </c>
      <c r="C55" s="61" t="s">
        <v>60</v>
      </c>
      <c r="D55" s="62">
        <v>21.146999999999991</v>
      </c>
      <c r="E55" s="63">
        <v>49.34</v>
      </c>
      <c r="F55" s="39">
        <f>U55</f>
        <v>0.46699999999999164</v>
      </c>
      <c r="G55" s="63">
        <v>40.11</v>
      </c>
      <c r="H55" s="64">
        <f>ROUND(D55*E55,2)</f>
        <v>1043.3900000000001</v>
      </c>
      <c r="I55" s="155" t="s">
        <v>117</v>
      </c>
      <c r="J55" s="65"/>
      <c r="K55" s="65">
        <v>20.68</v>
      </c>
      <c r="L55" s="65"/>
      <c r="M55" s="65"/>
      <c r="N55" s="65"/>
      <c r="O55" s="65"/>
      <c r="P55" s="65"/>
      <c r="Q55" s="65"/>
      <c r="R55" s="65"/>
      <c r="S55" s="65"/>
      <c r="T55" s="65">
        <f>SUM(J55:S55)</f>
        <v>20.68</v>
      </c>
      <c r="U55" s="65">
        <f>D55-T55</f>
        <v>0.46699999999999164</v>
      </c>
      <c r="V55" s="65">
        <f>U55*E55</f>
        <v>23.041779999999591</v>
      </c>
      <c r="W55" s="42">
        <f>(SUM(J55:R55))/D55</f>
        <v>0.97791648933654929</v>
      </c>
      <c r="X55" s="42">
        <f>IF(D55=0,0,S55/D55)</f>
        <v>0</v>
      </c>
      <c r="Y55" s="43">
        <f>W55+X55</f>
        <v>0.97791648933654929</v>
      </c>
      <c r="Z55" s="96">
        <f>(J55+K55+L55+M55+N55)*E55</f>
        <v>1020.3512000000001</v>
      </c>
      <c r="AA55" s="96">
        <f>S55*G55</f>
        <v>0</v>
      </c>
      <c r="AB55" s="96">
        <f>(J55+K55+L55+M55+N55+O55)*E55</f>
        <v>1020.3512000000001</v>
      </c>
      <c r="AC55" s="5"/>
    </row>
    <row r="56" spans="1:29" s="87" customFormat="1" ht="25.5">
      <c r="A56" s="37" t="s">
        <v>118</v>
      </c>
      <c r="B56" s="38" t="s">
        <v>104</v>
      </c>
      <c r="C56" s="61" t="s">
        <v>81</v>
      </c>
      <c r="D56" s="62">
        <v>2.0519999999999996</v>
      </c>
      <c r="E56" s="63">
        <v>1623.61</v>
      </c>
      <c r="F56" s="39" t="e">
        <f>U56</f>
        <v>#REF!</v>
      </c>
      <c r="G56" s="63">
        <v>1320.01</v>
      </c>
      <c r="H56" s="64">
        <f>ROUND(D56*E56,2)</f>
        <v>3331.65</v>
      </c>
      <c r="I56" s="155" t="s">
        <v>119</v>
      </c>
      <c r="J56" s="65"/>
      <c r="K56" s="65">
        <v>1.41</v>
      </c>
      <c r="L56" s="65"/>
      <c r="M56" s="65"/>
      <c r="N56" s="65"/>
      <c r="O56" s="65"/>
      <c r="P56" s="65"/>
      <c r="Q56" s="65"/>
      <c r="R56" s="65"/>
      <c r="S56" s="65" t="e">
        <f>#REF!</f>
        <v>#REF!</v>
      </c>
      <c r="T56" s="65" t="e">
        <f>SUM(J56:S56)</f>
        <v>#REF!</v>
      </c>
      <c r="U56" s="65" t="e">
        <f>D56-T56</f>
        <v>#REF!</v>
      </c>
      <c r="V56" s="65" t="e">
        <f>U56*E56</f>
        <v>#REF!</v>
      </c>
      <c r="W56" s="42">
        <f>(SUM(J56:R56))/D56</f>
        <v>0.68713450292397671</v>
      </c>
      <c r="X56" s="42" t="e">
        <f>IF(D56=0,0,S56/D56)</f>
        <v>#REF!</v>
      </c>
      <c r="Y56" s="43" t="e">
        <f>W56+X56</f>
        <v>#REF!</v>
      </c>
      <c r="Z56" s="96">
        <f>(J56+K56+L56+M56+N56)*E56</f>
        <v>2289.2900999999997</v>
      </c>
      <c r="AA56" s="96" t="e">
        <f>S56*G56</f>
        <v>#REF!</v>
      </c>
      <c r="AB56" s="96">
        <f>(J56+K56+L56+M56+N56+O56)*E56</f>
        <v>2289.2900999999997</v>
      </c>
      <c r="AC56" s="5"/>
    </row>
    <row r="57" spans="1:29" s="87" customFormat="1">
      <c r="A57" s="197"/>
      <c r="B57" s="197"/>
      <c r="C57" s="197"/>
      <c r="D57" s="58"/>
      <c r="E57" s="63"/>
      <c r="F57" s="195"/>
      <c r="G57" s="63">
        <v>0</v>
      </c>
      <c r="H57" s="59"/>
      <c r="I57" s="198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>
        <f>SUM(J57:S57)</f>
        <v>0</v>
      </c>
      <c r="U57" s="65"/>
      <c r="V57" s="65">
        <f>U57*E57</f>
        <v>0</v>
      </c>
      <c r="W57" s="42">
        <v>0</v>
      </c>
      <c r="X57" s="42">
        <f>IF(D57=0,0,S57/D57)</f>
        <v>0</v>
      </c>
      <c r="Y57" s="43">
        <f>W57+X57</f>
        <v>0</v>
      </c>
      <c r="Z57" s="96">
        <f>(J57+K57+L57+M57)*E57</f>
        <v>0</v>
      </c>
      <c r="AA57" s="96">
        <f>Q57*E57</f>
        <v>0</v>
      </c>
      <c r="AB57" s="96">
        <f>(J57+K57+L57+M57+N57)*E57</f>
        <v>0</v>
      </c>
    </row>
    <row r="58" spans="1:29" s="89" customFormat="1">
      <c r="A58" s="69" t="s">
        <v>120</v>
      </c>
      <c r="B58" s="70" t="s">
        <v>121</v>
      </c>
      <c r="C58" s="71"/>
      <c r="D58" s="72"/>
      <c r="E58" s="67">
        <v>0</v>
      </c>
      <c r="F58" s="67"/>
      <c r="G58" s="67">
        <v>0</v>
      </c>
      <c r="H58" s="73">
        <f>SUM(H59:H60)</f>
        <v>11237.650000000001</v>
      </c>
      <c r="I58" s="163"/>
      <c r="J58" s="75"/>
      <c r="K58" s="75"/>
      <c r="L58" s="104"/>
      <c r="M58" s="75"/>
      <c r="N58" s="75"/>
      <c r="O58" s="75"/>
      <c r="P58" s="75"/>
      <c r="Q58" s="75"/>
      <c r="R58" s="75"/>
      <c r="S58" s="75"/>
      <c r="T58" s="75"/>
      <c r="U58" s="75"/>
      <c r="V58" s="73">
        <f>SUM(V59:V60)</f>
        <v>0</v>
      </c>
      <c r="W58" s="75"/>
      <c r="X58" s="140"/>
      <c r="Y58" s="76">
        <f>J58</f>
        <v>0</v>
      </c>
      <c r="Z58" s="73">
        <f>SUM(Z59:Z60)</f>
        <v>11237.6525</v>
      </c>
      <c r="AA58" s="73">
        <f>SUM(AA59:AA60)</f>
        <v>0</v>
      </c>
      <c r="AB58" s="73">
        <f>SUM(AB59:AB60)</f>
        <v>11237.6525</v>
      </c>
      <c r="AC58" s="74"/>
    </row>
    <row r="59" spans="1:29" s="87" customFormat="1" ht="25.5">
      <c r="A59" s="37" t="s">
        <v>122</v>
      </c>
      <c r="B59" s="38" t="s">
        <v>101</v>
      </c>
      <c r="C59" s="61" t="s">
        <v>60</v>
      </c>
      <c r="D59" s="62">
        <v>55</v>
      </c>
      <c r="E59" s="63">
        <v>49.34</v>
      </c>
      <c r="F59" s="63"/>
      <c r="G59" s="63">
        <v>40.11</v>
      </c>
      <c r="H59" s="64">
        <f>ROUND(D59*E59,2)</f>
        <v>2713.7</v>
      </c>
      <c r="I59" s="155" t="str">
        <f>I55</f>
        <v>11644/ORSE</v>
      </c>
      <c r="J59" s="65"/>
      <c r="K59" s="65">
        <v>0</v>
      </c>
      <c r="L59" s="65">
        <v>55</v>
      </c>
      <c r="M59" s="65"/>
      <c r="N59" s="65"/>
      <c r="O59" s="65"/>
      <c r="P59" s="65"/>
      <c r="Q59" s="65"/>
      <c r="R59" s="65"/>
      <c r="S59" s="65"/>
      <c r="T59" s="65">
        <f>SUM(J59:S59)</f>
        <v>55</v>
      </c>
      <c r="U59" s="65">
        <f>D59-T59</f>
        <v>0</v>
      </c>
      <c r="V59" s="65">
        <f>U59*E59</f>
        <v>0</v>
      </c>
      <c r="W59" s="42">
        <f>(SUM(J59:R59))/D59</f>
        <v>1</v>
      </c>
      <c r="X59" s="42">
        <f>IF(D59=0,0,S59/D59)</f>
        <v>0</v>
      </c>
      <c r="Y59" s="43">
        <f>W59+X59</f>
        <v>1</v>
      </c>
      <c r="Z59" s="96">
        <f>(J59+K59+L59+M59+N59)*E59</f>
        <v>2713.7000000000003</v>
      </c>
      <c r="AA59" s="96">
        <f>Q59*E59</f>
        <v>0</v>
      </c>
      <c r="AB59" s="96">
        <f>(J59+K59+L59+M59+N59+O59)*E59</f>
        <v>2713.7000000000003</v>
      </c>
      <c r="AC59" s="5"/>
    </row>
    <row r="60" spans="1:29" s="87" customFormat="1" ht="25.5">
      <c r="A60" s="37" t="s">
        <v>123</v>
      </c>
      <c r="B60" s="38" t="s">
        <v>104</v>
      </c>
      <c r="C60" s="61" t="s">
        <v>81</v>
      </c>
      <c r="D60" s="62">
        <v>5.25</v>
      </c>
      <c r="E60" s="63">
        <v>1623.61</v>
      </c>
      <c r="F60" s="63"/>
      <c r="G60" s="63">
        <v>1320.01</v>
      </c>
      <c r="H60" s="64">
        <f>ROUND(D60*E60,2)</f>
        <v>8523.9500000000007</v>
      </c>
      <c r="I60" s="155" t="str">
        <f>I56</f>
        <v>95956/SINAPI</v>
      </c>
      <c r="J60" s="65"/>
      <c r="K60" s="65">
        <v>0</v>
      </c>
      <c r="L60" s="65">
        <v>5.25</v>
      </c>
      <c r="M60" s="65"/>
      <c r="N60" s="65"/>
      <c r="O60" s="65"/>
      <c r="P60" s="65"/>
      <c r="Q60" s="65"/>
      <c r="R60" s="65"/>
      <c r="S60" s="65"/>
      <c r="T60" s="65">
        <f>SUM(J60:S60)</f>
        <v>5.25</v>
      </c>
      <c r="U60" s="65">
        <f>D60-T60</f>
        <v>0</v>
      </c>
      <c r="V60" s="65">
        <f>U60*E60</f>
        <v>0</v>
      </c>
      <c r="W60" s="42">
        <f>(SUM(J60:R60))/D60</f>
        <v>1</v>
      </c>
      <c r="X60" s="42">
        <f>IF(D60=0,0,S60/D60)</f>
        <v>0</v>
      </c>
      <c r="Y60" s="43">
        <f>W60+X60</f>
        <v>1</v>
      </c>
      <c r="Z60" s="96">
        <f>(J60+K60+L60+M60+N60)*E60</f>
        <v>8523.9524999999994</v>
      </c>
      <c r="AA60" s="96">
        <f>Q60*E60</f>
        <v>0</v>
      </c>
      <c r="AB60" s="96">
        <f>(J60+K60+L60+M60+N60+O60)*E60</f>
        <v>8523.9524999999994</v>
      </c>
      <c r="AC60" s="5"/>
    </row>
    <row r="61" spans="1:29" s="87" customFormat="1">
      <c r="A61" s="57"/>
      <c r="B61" s="57"/>
      <c r="C61" s="57"/>
      <c r="D61" s="58"/>
      <c r="E61" s="63"/>
      <c r="F61" s="63"/>
      <c r="G61" s="63">
        <v>0</v>
      </c>
      <c r="H61" s="59"/>
      <c r="I61" s="161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>
        <f>SUM(J61:S61)</f>
        <v>0</v>
      </c>
      <c r="U61" s="65"/>
      <c r="V61" s="65">
        <f>U61*E61</f>
        <v>0</v>
      </c>
      <c r="W61" s="42">
        <v>0</v>
      </c>
      <c r="X61" s="42">
        <f>IF(D61=0,0,S61/D61)</f>
        <v>0</v>
      </c>
      <c r="Y61" s="43">
        <f>W61+X61</f>
        <v>0</v>
      </c>
      <c r="Z61" s="96">
        <f>(J61+K61+L61+M61)*E61</f>
        <v>0</v>
      </c>
      <c r="AA61" s="96">
        <f>Q61*E61</f>
        <v>0</v>
      </c>
      <c r="AB61" s="96">
        <f>(J61+K61+L61+M61+N61)*E61</f>
        <v>0</v>
      </c>
    </row>
    <row r="62" spans="1:29" s="88" customFormat="1">
      <c r="A62" s="53" t="s">
        <v>124</v>
      </c>
      <c r="B62" s="44" t="s">
        <v>125</v>
      </c>
      <c r="C62" s="45"/>
      <c r="D62" s="33"/>
      <c r="E62" s="34">
        <v>0</v>
      </c>
      <c r="F62" s="34"/>
      <c r="G62" s="34">
        <v>0</v>
      </c>
      <c r="H62" s="35">
        <f>SUM(H63)</f>
        <v>5925.57</v>
      </c>
      <c r="I62" s="48"/>
      <c r="J62" s="75"/>
      <c r="K62" s="75"/>
      <c r="L62" s="104"/>
      <c r="M62" s="75"/>
      <c r="N62" s="75"/>
      <c r="O62" s="75"/>
      <c r="P62" s="75"/>
      <c r="Q62" s="75"/>
      <c r="R62" s="75"/>
      <c r="S62" s="75"/>
      <c r="T62" s="75"/>
      <c r="U62" s="75"/>
      <c r="V62" s="35">
        <f>SUM(V63)</f>
        <v>0</v>
      </c>
      <c r="W62" s="36"/>
      <c r="X62" s="140"/>
      <c r="Y62" s="36"/>
      <c r="Z62" s="35">
        <f>SUM(Z63)</f>
        <v>5925.5679999999993</v>
      </c>
      <c r="AA62" s="35">
        <f>SUM(AA63)</f>
        <v>0</v>
      </c>
      <c r="AB62" s="35">
        <f>SUM(AB63)</f>
        <v>5925.5679999999993</v>
      </c>
      <c r="AC62" s="1"/>
    </row>
    <row r="63" spans="1:29" ht="25.5">
      <c r="A63" s="37" t="s">
        <v>126</v>
      </c>
      <c r="B63" s="38" t="s">
        <v>127</v>
      </c>
      <c r="C63" s="37" t="s">
        <v>60</v>
      </c>
      <c r="D63" s="39">
        <v>88.6</v>
      </c>
      <c r="E63" s="40">
        <v>66.88</v>
      </c>
      <c r="F63" s="40"/>
      <c r="G63" s="40">
        <v>54.37</v>
      </c>
      <c r="H63" s="41">
        <f>ROUND(D63*E63,2)</f>
        <v>5925.57</v>
      </c>
      <c r="I63" s="156" t="s">
        <v>128</v>
      </c>
      <c r="J63" s="65">
        <v>88.6</v>
      </c>
      <c r="K63" s="65"/>
      <c r="L63" s="65"/>
      <c r="M63" s="65"/>
      <c r="N63" s="65"/>
      <c r="O63" s="65"/>
      <c r="P63" s="65"/>
      <c r="Q63" s="65"/>
      <c r="R63" s="65"/>
      <c r="S63" s="65"/>
      <c r="T63" s="65">
        <f>SUM(J63:S63)</f>
        <v>88.6</v>
      </c>
      <c r="U63" s="65">
        <f>D63-T63</f>
        <v>0</v>
      </c>
      <c r="V63" s="65">
        <f>U63*E63</f>
        <v>0</v>
      </c>
      <c r="W63" s="42">
        <f>(SUM(J63:R63))/D63</f>
        <v>1</v>
      </c>
      <c r="X63" s="42">
        <f>IF(D63=0,0,S63/D63)</f>
        <v>0</v>
      </c>
      <c r="Y63" s="43">
        <f>W63+X63</f>
        <v>1</v>
      </c>
      <c r="Z63" s="96">
        <f>(J63+K63+L63+M63+N63)*E63</f>
        <v>5925.5679999999993</v>
      </c>
      <c r="AA63" s="96">
        <f>Q63*E63</f>
        <v>0</v>
      </c>
      <c r="AB63" s="96">
        <f>(J63+K63+L63+M63+N63+O63)*E63</f>
        <v>5925.5679999999993</v>
      </c>
      <c r="AC63" s="5"/>
    </row>
    <row r="64" spans="1:29" s="87" customFormat="1">
      <c r="A64" s="179"/>
      <c r="B64" s="179"/>
      <c r="C64" s="179"/>
      <c r="D64" s="58"/>
      <c r="E64" s="63"/>
      <c r="F64" s="180"/>
      <c r="G64" s="63">
        <v>0</v>
      </c>
      <c r="H64" s="59"/>
      <c r="I64" s="181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>
        <f>SUM(J64:S64)</f>
        <v>0</v>
      </c>
      <c r="U64" s="65"/>
      <c r="V64" s="65">
        <f>U64*E64</f>
        <v>0</v>
      </c>
      <c r="W64" s="42">
        <v>0</v>
      </c>
      <c r="X64" s="42">
        <f>IF(D64=0,0,S64/D64)</f>
        <v>0</v>
      </c>
      <c r="Y64" s="43">
        <f>W64+X64</f>
        <v>0</v>
      </c>
      <c r="Z64" s="96">
        <f>(J64+K64+L64+M64)*E64</f>
        <v>0</v>
      </c>
      <c r="AA64" s="96">
        <f>Q64*E64</f>
        <v>0</v>
      </c>
      <c r="AB64" s="96">
        <f>(J64+K64+L64+M64+N64)*E64</f>
        <v>0</v>
      </c>
    </row>
    <row r="65" spans="1:29" s="88" customFormat="1">
      <c r="A65" s="53">
        <v>5</v>
      </c>
      <c r="B65" s="31" t="s">
        <v>129</v>
      </c>
      <c r="C65" s="32"/>
      <c r="D65" s="33"/>
      <c r="E65" s="34">
        <v>0</v>
      </c>
      <c r="F65" s="34"/>
      <c r="G65" s="34">
        <v>0</v>
      </c>
      <c r="H65" s="35">
        <f>SUM(H66:H70)</f>
        <v>38896.35</v>
      </c>
      <c r="I65" s="48"/>
      <c r="J65" s="60"/>
      <c r="K65" s="60"/>
      <c r="L65" s="103"/>
      <c r="M65" s="60"/>
      <c r="N65" s="60"/>
      <c r="O65" s="60"/>
      <c r="P65" s="60"/>
      <c r="Q65" s="60"/>
      <c r="R65" s="103"/>
      <c r="S65" s="60"/>
      <c r="T65" s="60"/>
      <c r="U65" s="60"/>
      <c r="V65" s="35" t="e">
        <f>SUM(V66:V70)</f>
        <v>#REF!</v>
      </c>
      <c r="W65" s="36"/>
      <c r="X65" s="140"/>
      <c r="Y65" s="36"/>
      <c r="Z65" s="35">
        <f>SUM(Z66:Z70)</f>
        <v>34936.413824999996</v>
      </c>
      <c r="AA65" s="35" t="e">
        <f>SUM(AA66:AA70)</f>
        <v>#REF!</v>
      </c>
      <c r="AB65" s="35">
        <f>SUM(AB66:AB70)</f>
        <v>34936.413824999996</v>
      </c>
      <c r="AC65" s="1"/>
    </row>
    <row r="66" spans="1:29" ht="38.25">
      <c r="A66" s="37" t="s">
        <v>130</v>
      </c>
      <c r="B66" s="38" t="s">
        <v>131</v>
      </c>
      <c r="C66" s="37" t="s">
        <v>60</v>
      </c>
      <c r="D66" s="39">
        <v>137.03400000000002</v>
      </c>
      <c r="E66" s="40">
        <v>49.85</v>
      </c>
      <c r="F66" s="39">
        <f>U66</f>
        <v>48.4315</v>
      </c>
      <c r="G66" s="40">
        <v>40.53</v>
      </c>
      <c r="H66" s="41">
        <f>ROUND(D66*E66,2)</f>
        <v>6831.14</v>
      </c>
      <c r="I66" s="154" t="s">
        <v>132</v>
      </c>
      <c r="J66" s="65">
        <v>88.60250000000002</v>
      </c>
      <c r="K66" s="65"/>
      <c r="L66" s="65"/>
      <c r="M66" s="65"/>
      <c r="N66" s="65"/>
      <c r="O66" s="65"/>
      <c r="P66" s="65"/>
      <c r="Q66" s="65"/>
      <c r="R66" s="65"/>
      <c r="S66" s="65"/>
      <c r="T66" s="65">
        <f t="shared" ref="T66:T71" si="14">SUM(J66:S66)</f>
        <v>88.60250000000002</v>
      </c>
      <c r="U66" s="65">
        <f>D66-T66</f>
        <v>48.4315</v>
      </c>
      <c r="V66" s="65">
        <f t="shared" ref="V66:V71" si="15">U66*E66</f>
        <v>2414.3102750000003</v>
      </c>
      <c r="W66" s="42">
        <f>(SUM(J66:R66))/D66</f>
        <v>0.6465731132419692</v>
      </c>
      <c r="X66" s="42">
        <f t="shared" ref="X66:X71" si="16">IF(D66=0,0,S66/D66)</f>
        <v>0</v>
      </c>
      <c r="Y66" s="43">
        <f t="shared" ref="Y66:Y71" si="17">W66+X66</f>
        <v>0.6465731132419692</v>
      </c>
      <c r="Z66" s="96">
        <f>(J66+K66+L66+M66+N66)*E66</f>
        <v>4416.8346250000013</v>
      </c>
      <c r="AA66" s="96">
        <f>S66*G66</f>
        <v>0</v>
      </c>
      <c r="AB66" s="96">
        <f>(J66+K66+L66+M66+N66+O66)*E66</f>
        <v>4416.8346250000013</v>
      </c>
      <c r="AC66" s="5"/>
    </row>
    <row r="67" spans="1:29" s="87" customFormat="1" ht="38.25">
      <c r="A67" s="130" t="s">
        <v>133</v>
      </c>
      <c r="B67" s="188" t="s">
        <v>134</v>
      </c>
      <c r="C67" s="189" t="s">
        <v>60</v>
      </c>
      <c r="D67" s="62">
        <v>183</v>
      </c>
      <c r="E67" s="63">
        <v>62.85</v>
      </c>
      <c r="F67" s="190"/>
      <c r="G67" s="63">
        <v>51.1</v>
      </c>
      <c r="H67" s="64">
        <f>ROUND(D67*E67,2)</f>
        <v>11501.55</v>
      </c>
      <c r="I67" s="191" t="str">
        <f>I66</f>
        <v>00152/ORSE</v>
      </c>
      <c r="J67" s="65"/>
      <c r="K67" s="65">
        <v>183</v>
      </c>
      <c r="L67" s="65"/>
      <c r="M67" s="65"/>
      <c r="N67" s="65"/>
      <c r="O67" s="65"/>
      <c r="P67" s="65"/>
      <c r="Q67" s="65"/>
      <c r="R67" s="65"/>
      <c r="S67" s="65"/>
      <c r="T67" s="65">
        <f t="shared" si="14"/>
        <v>183</v>
      </c>
      <c r="U67" s="65">
        <f>D67-T67</f>
        <v>0</v>
      </c>
      <c r="V67" s="65">
        <f t="shared" si="15"/>
        <v>0</v>
      </c>
      <c r="W67" s="42">
        <f>(SUM(J67:R67))/D67</f>
        <v>1</v>
      </c>
      <c r="X67" s="42">
        <f t="shared" si="16"/>
        <v>0</v>
      </c>
      <c r="Y67" s="43">
        <f t="shared" si="17"/>
        <v>1</v>
      </c>
      <c r="Z67" s="96">
        <f>(J67+K67+L67+M67+N67)*E67</f>
        <v>11501.550000000001</v>
      </c>
      <c r="AA67" s="96">
        <f>Q67*E67</f>
        <v>0</v>
      </c>
      <c r="AB67" s="96">
        <f>(J67+K67+L67+M67+N67+O67)*E67</f>
        <v>11501.550000000001</v>
      </c>
      <c r="AC67" s="5"/>
    </row>
    <row r="68" spans="1:29" s="87" customFormat="1" ht="38.25">
      <c r="A68" s="37" t="s">
        <v>135</v>
      </c>
      <c r="B68" s="38" t="s">
        <v>136</v>
      </c>
      <c r="C68" s="61" t="s">
        <v>60</v>
      </c>
      <c r="D68" s="62">
        <v>28</v>
      </c>
      <c r="E68" s="63">
        <v>54.23</v>
      </c>
      <c r="F68" s="39">
        <f>U68</f>
        <v>28</v>
      </c>
      <c r="G68" s="63">
        <v>44.09</v>
      </c>
      <c r="H68" s="64">
        <f>ROUND(D68*E68,2)</f>
        <v>1518.44</v>
      </c>
      <c r="I68" s="208" t="s">
        <v>137</v>
      </c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>
        <f t="shared" si="14"/>
        <v>0</v>
      </c>
      <c r="U68" s="65">
        <f>D68-T68</f>
        <v>28</v>
      </c>
      <c r="V68" s="65">
        <f t="shared" si="15"/>
        <v>1518.4399999999998</v>
      </c>
      <c r="W68" s="42">
        <f>(SUM(J68:R68))/D68</f>
        <v>0</v>
      </c>
      <c r="X68" s="42">
        <f t="shared" si="16"/>
        <v>0</v>
      </c>
      <c r="Y68" s="43">
        <f t="shared" si="17"/>
        <v>0</v>
      </c>
      <c r="Z68" s="96">
        <f>(J68+K68+L68+M68+N68)*E68</f>
        <v>0</v>
      </c>
      <c r="AA68" s="96">
        <f>S68*G68</f>
        <v>0</v>
      </c>
      <c r="AB68" s="96">
        <f>(J68+K68+L68+M68+N68+O68)*E68</f>
        <v>0</v>
      </c>
      <c r="AC68" s="5"/>
    </row>
    <row r="69" spans="1:29" ht="25.5">
      <c r="A69" s="37" t="s">
        <v>138</v>
      </c>
      <c r="B69" s="38" t="s">
        <v>139</v>
      </c>
      <c r="C69" s="37" t="s">
        <v>60</v>
      </c>
      <c r="D69" s="39">
        <v>6</v>
      </c>
      <c r="E69" s="40">
        <v>123.59</v>
      </c>
      <c r="F69" s="39">
        <f>U69</f>
        <v>0</v>
      </c>
      <c r="G69" s="40">
        <v>100.48</v>
      </c>
      <c r="H69" s="41">
        <f>ROUND(D69*E69,2)</f>
        <v>741.54</v>
      </c>
      <c r="I69" s="208" t="s">
        <v>140</v>
      </c>
      <c r="J69" s="65">
        <v>5.8000000000000007</v>
      </c>
      <c r="K69" s="65"/>
      <c r="L69" s="65"/>
      <c r="M69" s="65"/>
      <c r="N69" s="65"/>
      <c r="O69" s="65"/>
      <c r="P69" s="65"/>
      <c r="Q69" s="65"/>
      <c r="R69" s="65"/>
      <c r="S69" s="65">
        <v>0.2</v>
      </c>
      <c r="T69" s="65">
        <f t="shared" si="14"/>
        <v>6.0000000000000009</v>
      </c>
      <c r="U69" s="65">
        <f>D69-T69</f>
        <v>0</v>
      </c>
      <c r="V69" s="65">
        <f t="shared" si="15"/>
        <v>0</v>
      </c>
      <c r="W69" s="42">
        <f>(SUM(J69:R69))/D69</f>
        <v>0.96666666666666679</v>
      </c>
      <c r="X69" s="42">
        <f t="shared" si="16"/>
        <v>3.3333333333333333E-2</v>
      </c>
      <c r="Y69" s="43">
        <f t="shared" si="17"/>
        <v>1.0000000000000002</v>
      </c>
      <c r="Z69" s="96">
        <f>(J69+K69+L69+M69+N69)*E69</f>
        <v>716.82200000000012</v>
      </c>
      <c r="AA69" s="96">
        <f>S69*E69</f>
        <v>24.718000000000004</v>
      </c>
      <c r="AB69" s="96">
        <f>(J69+K69+L69+M69+N69+O69)*E69</f>
        <v>716.82200000000012</v>
      </c>
      <c r="AC69" s="5"/>
    </row>
    <row r="70" spans="1:29" ht="25.5">
      <c r="A70" s="37" t="s">
        <v>141</v>
      </c>
      <c r="B70" s="38" t="s">
        <v>142</v>
      </c>
      <c r="C70" s="37" t="s">
        <v>60</v>
      </c>
      <c r="D70" s="39">
        <v>148.1</v>
      </c>
      <c r="E70" s="40">
        <v>123.59</v>
      </c>
      <c r="F70" s="39" t="e">
        <f>U70</f>
        <v>#REF!</v>
      </c>
      <c r="G70" s="40">
        <v>100.48</v>
      </c>
      <c r="H70" s="41">
        <f>ROUND(D70*E70,2)</f>
        <v>18303.68</v>
      </c>
      <c r="I70" s="208" t="s">
        <v>143</v>
      </c>
      <c r="J70" s="65">
        <v>6.6</v>
      </c>
      <c r="K70" s="65"/>
      <c r="L70" s="65"/>
      <c r="M70" s="65">
        <v>141.47999999999999</v>
      </c>
      <c r="N70" s="65"/>
      <c r="O70" s="65"/>
      <c r="P70" s="65"/>
      <c r="Q70" s="65"/>
      <c r="R70" s="65"/>
      <c r="S70" s="65" t="e">
        <f>#REF!</f>
        <v>#REF!</v>
      </c>
      <c r="T70" s="65" t="e">
        <f t="shared" si="14"/>
        <v>#REF!</v>
      </c>
      <c r="U70" s="65" t="e">
        <f>D70-T70</f>
        <v>#REF!</v>
      </c>
      <c r="V70" s="65" t="e">
        <f t="shared" si="15"/>
        <v>#REF!</v>
      </c>
      <c r="W70" s="42">
        <f>(SUM(J70:R70))/D70</f>
        <v>0.99986495611073589</v>
      </c>
      <c r="X70" s="42" t="e">
        <f t="shared" si="16"/>
        <v>#REF!</v>
      </c>
      <c r="Y70" s="43" t="e">
        <f t="shared" si="17"/>
        <v>#REF!</v>
      </c>
      <c r="Z70" s="96">
        <f>(J70+K70+L70+M70+N70)*E70</f>
        <v>18301.207199999997</v>
      </c>
      <c r="AA70" s="96" t="e">
        <f>S70*G70</f>
        <v>#REF!</v>
      </c>
      <c r="AB70" s="96">
        <f>(J70+K70+L70+M70+N70+O70)*E70</f>
        <v>18301.207199999997</v>
      </c>
      <c r="AC70" s="5"/>
    </row>
    <row r="71" spans="1:29">
      <c r="A71" s="199"/>
      <c r="B71" s="199"/>
      <c r="C71" s="199"/>
      <c r="D71" s="77"/>
      <c r="E71" s="40"/>
      <c r="F71" s="200"/>
      <c r="G71" s="40">
        <v>0</v>
      </c>
      <c r="H71" s="78"/>
      <c r="I71" s="201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>
        <f t="shared" si="14"/>
        <v>0</v>
      </c>
      <c r="U71" s="65"/>
      <c r="V71" s="65">
        <f t="shared" si="15"/>
        <v>0</v>
      </c>
      <c r="W71" s="42">
        <v>0</v>
      </c>
      <c r="X71" s="42">
        <f t="shared" si="16"/>
        <v>0</v>
      </c>
      <c r="Y71" s="43">
        <f t="shared" si="17"/>
        <v>0</v>
      </c>
      <c r="Z71" s="96">
        <f>(J71+K71+L71+M71)*E71</f>
        <v>0</v>
      </c>
      <c r="AA71" s="96">
        <f>Q71*E71</f>
        <v>0</v>
      </c>
      <c r="AB71" s="96">
        <f>(J71+K71+L71+M71+N71)*E71</f>
        <v>0</v>
      </c>
    </row>
    <row r="72" spans="1:29" s="89" customFormat="1">
      <c r="A72" s="53">
        <v>6</v>
      </c>
      <c r="B72" s="31" t="s">
        <v>144</v>
      </c>
      <c r="C72" s="32"/>
      <c r="D72" s="66"/>
      <c r="E72" s="67">
        <v>0</v>
      </c>
      <c r="F72" s="67"/>
      <c r="G72" s="67">
        <v>0</v>
      </c>
      <c r="H72" s="68">
        <f>SUM(H73:H74)</f>
        <v>161507.72</v>
      </c>
      <c r="I72" s="162"/>
      <c r="J72" s="60"/>
      <c r="K72" s="60"/>
      <c r="L72" s="103"/>
      <c r="M72" s="60"/>
      <c r="N72" s="60"/>
      <c r="O72" s="60"/>
      <c r="P72" s="60"/>
      <c r="Q72" s="60"/>
      <c r="R72" s="103"/>
      <c r="S72" s="60"/>
      <c r="T72" s="60"/>
      <c r="U72" s="60"/>
      <c r="V72" s="68" t="e">
        <f>SUM(V73:V74)</f>
        <v>#REF!</v>
      </c>
      <c r="W72" s="60"/>
      <c r="X72" s="140"/>
      <c r="Y72" s="76">
        <f>J72</f>
        <v>0</v>
      </c>
      <c r="Z72" s="68">
        <f>SUM(Z73:Z74)</f>
        <v>88683.907200000001</v>
      </c>
      <c r="AA72" s="68" t="e">
        <f>SUM(AA73:AA74)</f>
        <v>#REF!</v>
      </c>
      <c r="AB72" s="68">
        <f>SUM(AB73:AB74)</f>
        <v>105259.9296</v>
      </c>
      <c r="AC72" s="1"/>
    </row>
    <row r="73" spans="1:29" s="87" customFormat="1" ht="19.5">
      <c r="A73" s="37" t="s">
        <v>145</v>
      </c>
      <c r="B73" s="38" t="s">
        <v>146</v>
      </c>
      <c r="C73" s="61" t="s">
        <v>60</v>
      </c>
      <c r="D73" s="62">
        <v>1114</v>
      </c>
      <c r="E73" s="63">
        <v>104.16</v>
      </c>
      <c r="F73" s="39" t="e">
        <f>U73</f>
        <v>#REF!</v>
      </c>
      <c r="G73" s="63">
        <v>84.68</v>
      </c>
      <c r="H73" s="64">
        <f>ROUND(D73*E73,2)</f>
        <v>116034.24000000001</v>
      </c>
      <c r="I73" s="155" t="s">
        <v>85</v>
      </c>
      <c r="J73" s="65"/>
      <c r="K73" s="65"/>
      <c r="L73" s="65"/>
      <c r="M73" s="65"/>
      <c r="N73" s="65">
        <v>318.29000000000002</v>
      </c>
      <c r="O73" s="65">
        <v>159.13999999999999</v>
      </c>
      <c r="P73" s="65">
        <v>318.29000000000002</v>
      </c>
      <c r="Q73" s="65">
        <v>55.7</v>
      </c>
      <c r="R73" s="65">
        <v>159.13999999999999</v>
      </c>
      <c r="S73" s="65" t="e">
        <f>#REF!</f>
        <v>#REF!</v>
      </c>
      <c r="T73" s="65" t="e">
        <f>SUM(J73:S73)</f>
        <v>#REF!</v>
      </c>
      <c r="U73" s="65" t="e">
        <f>D73-T73</f>
        <v>#REF!</v>
      </c>
      <c r="V73" s="65" t="e">
        <f>U73*E73</f>
        <v>#REF!</v>
      </c>
      <c r="W73" s="42">
        <f>(SUM(J73:R73))/D73</f>
        <v>0.90714542190305214</v>
      </c>
      <c r="X73" s="42" t="e">
        <f>IF(D73=0,0,S73/D73)</f>
        <v>#REF!</v>
      </c>
      <c r="Y73" s="43" t="e">
        <f>W73+X73</f>
        <v>#REF!</v>
      </c>
      <c r="Z73" s="96">
        <f>(J73+K73+L73+M73+N73+O73+P73+Q73)*E73</f>
        <v>88683.907200000001</v>
      </c>
      <c r="AA73" s="96" t="e">
        <f>S73*E73</f>
        <v>#REF!</v>
      </c>
      <c r="AB73" s="96">
        <f>(J73+K73+L73+M73+N73+O73+P73+Q73+R73)*E73</f>
        <v>105259.9296</v>
      </c>
      <c r="AC73" s="221" t="e">
        <f>AA73</f>
        <v>#REF!</v>
      </c>
    </row>
    <row r="74" spans="1:29" s="87" customFormat="1">
      <c r="A74" s="37" t="s">
        <v>147</v>
      </c>
      <c r="B74" s="38" t="s">
        <v>148</v>
      </c>
      <c r="C74" s="61" t="s">
        <v>60</v>
      </c>
      <c r="D74" s="62">
        <v>1114</v>
      </c>
      <c r="E74" s="63">
        <v>40.82</v>
      </c>
      <c r="F74" s="39" t="e">
        <f>U74</f>
        <v>#REF!</v>
      </c>
      <c r="G74" s="63">
        <v>33.19</v>
      </c>
      <c r="H74" s="64">
        <f>ROUND(D74*E74,2)</f>
        <v>45473.48</v>
      </c>
      <c r="I74" s="155" t="s">
        <v>85</v>
      </c>
      <c r="J74" s="65"/>
      <c r="K74" s="65"/>
      <c r="L74" s="65"/>
      <c r="M74" s="65"/>
      <c r="N74" s="65"/>
      <c r="O74" s="65"/>
      <c r="P74" s="65"/>
      <c r="Q74" s="65"/>
      <c r="R74" s="65"/>
      <c r="S74" s="65" t="e">
        <f>#REF!</f>
        <v>#REF!</v>
      </c>
      <c r="T74" s="65" t="e">
        <f>SUM(J74:S74)</f>
        <v>#REF!</v>
      </c>
      <c r="U74" s="65" t="e">
        <f>D74-T74</f>
        <v>#REF!</v>
      </c>
      <c r="V74" s="65" t="e">
        <f>U74*E74</f>
        <v>#REF!</v>
      </c>
      <c r="W74" s="42">
        <f>(SUM(J74:R74))/D74</f>
        <v>0</v>
      </c>
      <c r="X74" s="42" t="e">
        <f>IF(D74=0,0,S74/D74)</f>
        <v>#REF!</v>
      </c>
      <c r="Y74" s="43" t="e">
        <f>W74+X74</f>
        <v>#REF!</v>
      </c>
      <c r="Z74" s="96">
        <f>(J74+K74+L74+M74+N74)*E74</f>
        <v>0</v>
      </c>
      <c r="AA74" s="96" t="e">
        <f>S74*G74</f>
        <v>#REF!</v>
      </c>
      <c r="AB74" s="96">
        <f>(J74+K74+L74+M74+N74+O74)*E74</f>
        <v>0</v>
      </c>
      <c r="AC74" s="5"/>
    </row>
    <row r="75" spans="1:29">
      <c r="A75" s="199"/>
      <c r="B75" s="199"/>
      <c r="C75" s="199"/>
      <c r="D75" s="77"/>
      <c r="E75" s="40"/>
      <c r="F75" s="200"/>
      <c r="G75" s="40">
        <v>0</v>
      </c>
      <c r="H75" s="78"/>
      <c r="I75" s="201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>
        <f>SUM(J75:S75)</f>
        <v>0</v>
      </c>
      <c r="U75" s="65"/>
      <c r="V75" s="65">
        <f>U75*E75</f>
        <v>0</v>
      </c>
      <c r="W75" s="42">
        <v>0</v>
      </c>
      <c r="X75" s="42">
        <f>IF(D75=0,0,S75/D75)</f>
        <v>0</v>
      </c>
      <c r="Y75" s="43">
        <f>W75+X75</f>
        <v>0</v>
      </c>
      <c r="Z75" s="96">
        <f>(J75+K75+L75+M75)*E75</f>
        <v>0</v>
      </c>
      <c r="AA75" s="96">
        <f>Q75*E75</f>
        <v>0</v>
      </c>
      <c r="AB75" s="96">
        <f>(J75+K75+L75+M75+N75)*E75</f>
        <v>0</v>
      </c>
    </row>
    <row r="76" spans="1:29" s="89" customFormat="1">
      <c r="A76" s="53">
        <v>7</v>
      </c>
      <c r="B76" s="31" t="s">
        <v>149</v>
      </c>
      <c r="C76" s="32"/>
      <c r="D76" s="66"/>
      <c r="E76" s="67">
        <v>0</v>
      </c>
      <c r="F76" s="67"/>
      <c r="G76" s="67">
        <v>0</v>
      </c>
      <c r="H76" s="68">
        <f>SUM(H77:H80)</f>
        <v>3549.89</v>
      </c>
      <c r="I76" s="162"/>
      <c r="J76" s="60"/>
      <c r="K76" s="60"/>
      <c r="L76" s="103"/>
      <c r="M76" s="60"/>
      <c r="N76" s="60"/>
      <c r="O76" s="60"/>
      <c r="P76" s="60"/>
      <c r="Q76" s="60"/>
      <c r="R76" s="103"/>
      <c r="S76" s="60"/>
      <c r="T76" s="60"/>
      <c r="U76" s="60"/>
      <c r="V76" s="68">
        <f>SUM(V77:V80)</f>
        <v>3549.89</v>
      </c>
      <c r="W76" s="60"/>
      <c r="X76" s="140"/>
      <c r="Y76" s="76">
        <f>J76</f>
        <v>0</v>
      </c>
      <c r="Z76" s="68">
        <f>SUM(Z77:Z80)</f>
        <v>0</v>
      </c>
      <c r="AA76" s="68">
        <f>SUM(AA77:AA80)</f>
        <v>0</v>
      </c>
      <c r="AB76" s="68">
        <f>SUM(AB77:AB80)</f>
        <v>0</v>
      </c>
      <c r="AC76" s="1"/>
    </row>
    <row r="77" spans="1:29" s="87" customFormat="1" ht="39" customHeight="1">
      <c r="A77" s="37" t="s">
        <v>150</v>
      </c>
      <c r="B77" s="38" t="s">
        <v>151</v>
      </c>
      <c r="C77" s="61" t="s">
        <v>152</v>
      </c>
      <c r="D77" s="62">
        <v>2</v>
      </c>
      <c r="E77" s="63">
        <v>783.41</v>
      </c>
      <c r="F77" s="39">
        <f>U77</f>
        <v>2</v>
      </c>
      <c r="G77" s="63">
        <v>636.91999999999996</v>
      </c>
      <c r="H77" s="64">
        <f>ROUND(D77*E77,2)</f>
        <v>1566.82</v>
      </c>
      <c r="I77" s="208" t="s">
        <v>153</v>
      </c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>
        <f>SUM(J77:S77)</f>
        <v>0</v>
      </c>
      <c r="U77" s="65">
        <f>D77-T77</f>
        <v>2</v>
      </c>
      <c r="V77" s="65">
        <f>U77*E77</f>
        <v>1566.82</v>
      </c>
      <c r="W77" s="42">
        <f>(SUM(J77:R77))/D77</f>
        <v>0</v>
      </c>
      <c r="X77" s="42">
        <f>IF(D77=0,0,S77/D77)</f>
        <v>0</v>
      </c>
      <c r="Y77" s="43">
        <f>W77+X77</f>
        <v>0</v>
      </c>
      <c r="Z77" s="96">
        <f>(J77+K77+L77+M77+N77)*E77</f>
        <v>0</v>
      </c>
      <c r="AA77" s="96">
        <f>S77*G77</f>
        <v>0</v>
      </c>
      <c r="AB77" s="96">
        <f>(J77+K77+L77+M77+N77+O77)*E77</f>
        <v>0</v>
      </c>
      <c r="AC77" s="5"/>
    </row>
    <row r="78" spans="1:29" s="87" customFormat="1" ht="25.5">
      <c r="A78" s="37" t="s">
        <v>154</v>
      </c>
      <c r="B78" s="38" t="s">
        <v>155</v>
      </c>
      <c r="C78" s="61" t="s">
        <v>152</v>
      </c>
      <c r="D78" s="62">
        <v>1</v>
      </c>
      <c r="E78" s="63">
        <v>605.47</v>
      </c>
      <c r="F78" s="39">
        <f>U78</f>
        <v>1</v>
      </c>
      <c r="G78" s="63">
        <v>492.25</v>
      </c>
      <c r="H78" s="64">
        <f>ROUND(D78*E78,2)</f>
        <v>605.47</v>
      </c>
      <c r="I78" s="208" t="s">
        <v>156</v>
      </c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>
        <f>SUM(J78:S78)</f>
        <v>0</v>
      </c>
      <c r="U78" s="65">
        <f>D78-T78</f>
        <v>1</v>
      </c>
      <c r="V78" s="65">
        <f>U78*E78</f>
        <v>605.47</v>
      </c>
      <c r="W78" s="42">
        <f>(SUM(J78:R78))/D78</f>
        <v>0</v>
      </c>
      <c r="X78" s="42">
        <f>IF(D78=0,0,S78/D78)</f>
        <v>0</v>
      </c>
      <c r="Y78" s="43">
        <f>W78+X78</f>
        <v>0</v>
      </c>
      <c r="Z78" s="96">
        <f>(J78+K78+L78+M78+N78)*E78</f>
        <v>0</v>
      </c>
      <c r="AA78" s="96">
        <f>S78*G78</f>
        <v>0</v>
      </c>
      <c r="AB78" s="96">
        <f>(J78+K78+L78+M78+N78+O78)*E78</f>
        <v>0</v>
      </c>
      <c r="AC78" s="5"/>
    </row>
    <row r="79" spans="1:29" s="87" customFormat="1" ht="25.5">
      <c r="A79" s="37" t="s">
        <v>157</v>
      </c>
      <c r="B79" s="38" t="s">
        <v>158</v>
      </c>
      <c r="C79" s="61" t="s">
        <v>152</v>
      </c>
      <c r="D79" s="62">
        <v>4</v>
      </c>
      <c r="E79" s="63">
        <v>219.76</v>
      </c>
      <c r="F79" s="39">
        <f>U79</f>
        <v>4</v>
      </c>
      <c r="G79" s="63">
        <v>178.67</v>
      </c>
      <c r="H79" s="64">
        <f>ROUND(D79*E79,2)</f>
        <v>879.04</v>
      </c>
      <c r="I79" s="208" t="s">
        <v>159</v>
      </c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>
        <f>SUM(J79:S79)</f>
        <v>0</v>
      </c>
      <c r="U79" s="65">
        <f>D79-T79</f>
        <v>4</v>
      </c>
      <c r="V79" s="65">
        <f>U79*E79</f>
        <v>879.04</v>
      </c>
      <c r="W79" s="42">
        <f>(SUM(J79:R79))/D79</f>
        <v>0</v>
      </c>
      <c r="X79" s="42">
        <f>IF(D79=0,0,S79/D79)</f>
        <v>0</v>
      </c>
      <c r="Y79" s="43">
        <f>W79+X79</f>
        <v>0</v>
      </c>
      <c r="Z79" s="96">
        <f>(J79+K79+L79+M79+N79)*E79</f>
        <v>0</v>
      </c>
      <c r="AA79" s="96">
        <f>S79*G79</f>
        <v>0</v>
      </c>
      <c r="AB79" s="96">
        <f>(J79+K79+L79+M79+N79+O79)*E79</f>
        <v>0</v>
      </c>
      <c r="AC79" s="5"/>
    </row>
    <row r="80" spans="1:29" s="87" customFormat="1" ht="25.5">
      <c r="A80" s="37" t="s">
        <v>160</v>
      </c>
      <c r="B80" s="38" t="s">
        <v>161</v>
      </c>
      <c r="C80" s="61" t="s">
        <v>152</v>
      </c>
      <c r="D80" s="62">
        <v>2</v>
      </c>
      <c r="E80" s="63">
        <v>249.28</v>
      </c>
      <c r="F80" s="39">
        <f>U80</f>
        <v>2</v>
      </c>
      <c r="G80" s="63">
        <v>202.67</v>
      </c>
      <c r="H80" s="64">
        <f>ROUND(D80*E80,2)</f>
        <v>498.56</v>
      </c>
      <c r="I80" s="208" t="s">
        <v>162</v>
      </c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>
        <f>SUM(J80:S80)</f>
        <v>0</v>
      </c>
      <c r="U80" s="65">
        <f>D80-T80</f>
        <v>2</v>
      </c>
      <c r="V80" s="65">
        <f>U80*E80</f>
        <v>498.56</v>
      </c>
      <c r="W80" s="42">
        <f>(SUM(J80:R80))/D80</f>
        <v>0</v>
      </c>
      <c r="X80" s="42">
        <f>IF(D80=0,0,S80/D80)</f>
        <v>0</v>
      </c>
      <c r="Y80" s="43">
        <f>W80+X80</f>
        <v>0</v>
      </c>
      <c r="Z80" s="96">
        <f>(J80+K80+L80+M80+N80)*E80</f>
        <v>0</v>
      </c>
      <c r="AA80" s="96">
        <f>S80*G80</f>
        <v>0</v>
      </c>
      <c r="AB80" s="96">
        <f>(J80+K80+L80+M80+N80+O80)*E80</f>
        <v>0</v>
      </c>
      <c r="AC80" s="5"/>
    </row>
    <row r="81" spans="1:29" s="87" customFormat="1">
      <c r="A81" s="202"/>
      <c r="B81" s="202"/>
      <c r="C81" s="202"/>
      <c r="D81" s="58"/>
      <c r="E81" s="63"/>
      <c r="F81" s="190"/>
      <c r="G81" s="63">
        <v>0</v>
      </c>
      <c r="H81" s="59"/>
      <c r="I81" s="20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>
        <f>SUM(J81:S81)</f>
        <v>0</v>
      </c>
      <c r="U81" s="65"/>
      <c r="V81" s="65">
        <f>U81*E81</f>
        <v>0</v>
      </c>
      <c r="W81" s="42">
        <v>0</v>
      </c>
      <c r="X81" s="42">
        <f>IF(D81=0,0,S81/D81)</f>
        <v>0</v>
      </c>
      <c r="Y81" s="43">
        <f>W81+X81</f>
        <v>0</v>
      </c>
      <c r="Z81" s="96">
        <f>(J81+K81+L81+M81)*E81</f>
        <v>0</v>
      </c>
      <c r="AA81" s="96">
        <f>Q81*E81</f>
        <v>0</v>
      </c>
      <c r="AB81" s="96">
        <f>(J81+K81+L81+M81+N81)*E81</f>
        <v>0</v>
      </c>
    </row>
    <row r="82" spans="1:29" s="88" customFormat="1" ht="19.5">
      <c r="A82" s="53">
        <v>8</v>
      </c>
      <c r="B82" s="31" t="s">
        <v>163</v>
      </c>
      <c r="C82" s="32"/>
      <c r="D82" s="33"/>
      <c r="E82" s="34">
        <v>0</v>
      </c>
      <c r="F82" s="34"/>
      <c r="G82" s="34">
        <v>0</v>
      </c>
      <c r="H82" s="35">
        <f>SUM(H83:H87)</f>
        <v>45301.78</v>
      </c>
      <c r="I82" s="48"/>
      <c r="J82" s="60"/>
      <c r="K82" s="60"/>
      <c r="L82" s="103"/>
      <c r="M82" s="60"/>
      <c r="N82" s="60"/>
      <c r="O82" s="60"/>
      <c r="P82" s="60"/>
      <c r="Q82" s="60"/>
      <c r="R82" s="103"/>
      <c r="S82" s="60"/>
      <c r="T82" s="60"/>
      <c r="U82" s="60"/>
      <c r="V82" s="35" t="e">
        <f>SUM(V83:V87)</f>
        <v>#REF!</v>
      </c>
      <c r="W82" s="36"/>
      <c r="X82" s="140"/>
      <c r="Y82" s="36"/>
      <c r="Z82" s="35">
        <f>SUM(Z83:Z87)</f>
        <v>22818.597200000004</v>
      </c>
      <c r="AA82" s="35" t="e">
        <f>SUM(AA83:AA87)</f>
        <v>#REF!</v>
      </c>
      <c r="AB82" s="35">
        <f>SUM(AB83:AB87)</f>
        <v>22818.597200000004</v>
      </c>
      <c r="AC82" s="222"/>
    </row>
    <row r="83" spans="1:29" ht="25.5">
      <c r="A83" s="192" t="s">
        <v>164</v>
      </c>
      <c r="B83" s="193" t="s">
        <v>165</v>
      </c>
      <c r="C83" s="192" t="s">
        <v>60</v>
      </c>
      <c r="D83" s="39">
        <v>397.48140000000001</v>
      </c>
      <c r="E83" s="40">
        <v>2.89</v>
      </c>
      <c r="F83" s="205"/>
      <c r="G83" s="40">
        <v>2.35</v>
      </c>
      <c r="H83" s="41">
        <f>ROUND(D83*E83,2)</f>
        <v>1148.72</v>
      </c>
      <c r="I83" s="164" t="s">
        <v>166</v>
      </c>
      <c r="J83" s="65">
        <v>397.48</v>
      </c>
      <c r="K83" s="65"/>
      <c r="L83" s="65"/>
      <c r="M83" s="65"/>
      <c r="N83" s="65"/>
      <c r="O83" s="65"/>
      <c r="P83" s="65"/>
      <c r="Q83" s="65"/>
      <c r="R83" s="65"/>
      <c r="S83" s="65"/>
      <c r="T83" s="65">
        <f t="shared" ref="T83:T88" si="18">SUM(J83:S83)</f>
        <v>397.48</v>
      </c>
      <c r="U83" s="65">
        <f>D83-T83</f>
        <v>1.3999999999896318E-3</v>
      </c>
      <c r="V83" s="65">
        <f t="shared" ref="V83:V88" si="19">U83*E83</f>
        <v>4.0459999999700362E-3</v>
      </c>
      <c r="W83" s="42">
        <f>(SUM(J83:R83))/D83</f>
        <v>0.99999647782261014</v>
      </c>
      <c r="X83" s="42">
        <f t="shared" ref="X83:X88" si="20">IF(D83=0,0,S83/D83)</f>
        <v>0</v>
      </c>
      <c r="Y83" s="43">
        <f t="shared" ref="Y83:Y88" si="21">W83+X83</f>
        <v>0.99999647782261014</v>
      </c>
      <c r="Z83" s="96">
        <f>(J83+K83+L83+M83+N83)*E83</f>
        <v>1148.7172</v>
      </c>
      <c r="AA83" s="96">
        <f>S83*G83</f>
        <v>0</v>
      </c>
      <c r="AB83" s="96">
        <f>(J83+K83+L83+M83+N83+O83)*E83</f>
        <v>1148.7172</v>
      </c>
      <c r="AC83" s="5"/>
    </row>
    <row r="84" spans="1:29" ht="25.5">
      <c r="A84" s="37" t="s">
        <v>167</v>
      </c>
      <c r="B84" s="38" t="s">
        <v>168</v>
      </c>
      <c r="C84" s="37" t="s">
        <v>60</v>
      </c>
      <c r="D84" s="39">
        <v>409.1</v>
      </c>
      <c r="E84" s="40">
        <v>22.8</v>
      </c>
      <c r="F84" s="40"/>
      <c r="G84" s="40">
        <v>18.54</v>
      </c>
      <c r="H84" s="41">
        <f>ROUND(D84*E84,2)</f>
        <v>9327.48</v>
      </c>
      <c r="I84" s="164" t="s">
        <v>169</v>
      </c>
      <c r="J84" s="65">
        <v>409.1</v>
      </c>
      <c r="K84" s="65"/>
      <c r="L84" s="65"/>
      <c r="M84" s="65"/>
      <c r="N84" s="65"/>
      <c r="O84" s="65"/>
      <c r="P84" s="65"/>
      <c r="Q84" s="65"/>
      <c r="R84" s="65"/>
      <c r="S84" s="65"/>
      <c r="T84" s="65">
        <f t="shared" si="18"/>
        <v>409.1</v>
      </c>
      <c r="U84" s="65">
        <f>D84-T84</f>
        <v>0</v>
      </c>
      <c r="V84" s="65">
        <f t="shared" si="19"/>
        <v>0</v>
      </c>
      <c r="W84" s="42">
        <f>(SUM(J84:R84))/D84</f>
        <v>1</v>
      </c>
      <c r="X84" s="42">
        <f t="shared" si="20"/>
        <v>0</v>
      </c>
      <c r="Y84" s="43">
        <f t="shared" si="21"/>
        <v>1</v>
      </c>
      <c r="Z84" s="96">
        <f>(J84+K84+L84+M84+N84)*E84</f>
        <v>9327.4800000000014</v>
      </c>
      <c r="AA84" s="96">
        <f>Q84*E84</f>
        <v>0</v>
      </c>
      <c r="AB84" s="96">
        <f>(J84+K84+L84+M84+N84+O84)*E84</f>
        <v>9327.4800000000014</v>
      </c>
      <c r="AC84" s="5"/>
    </row>
    <row r="85" spans="1:29" s="87" customFormat="1" ht="25.5">
      <c r="A85" s="182" t="s">
        <v>170</v>
      </c>
      <c r="B85" s="183" t="s">
        <v>171</v>
      </c>
      <c r="C85" s="184" t="s">
        <v>60</v>
      </c>
      <c r="D85" s="62">
        <v>551</v>
      </c>
      <c r="E85" s="63">
        <v>22.4</v>
      </c>
      <c r="F85" s="180"/>
      <c r="G85" s="63">
        <v>18.21</v>
      </c>
      <c r="H85" s="64">
        <f>ROUND(D85*E85,2)</f>
        <v>12342.4</v>
      </c>
      <c r="I85" s="164" t="s">
        <v>172</v>
      </c>
      <c r="J85" s="65"/>
      <c r="K85" s="65">
        <v>551</v>
      </c>
      <c r="L85" s="65"/>
      <c r="M85" s="65"/>
      <c r="N85" s="65"/>
      <c r="O85" s="65"/>
      <c r="P85" s="65"/>
      <c r="Q85" s="65"/>
      <c r="R85" s="65"/>
      <c r="S85" s="65"/>
      <c r="T85" s="65">
        <f t="shared" si="18"/>
        <v>551</v>
      </c>
      <c r="U85" s="65">
        <f>D85-T85</f>
        <v>0</v>
      </c>
      <c r="V85" s="65">
        <f t="shared" si="19"/>
        <v>0</v>
      </c>
      <c r="W85" s="42">
        <f>(SUM(J85:R85))/D85</f>
        <v>1</v>
      </c>
      <c r="X85" s="42">
        <f t="shared" si="20"/>
        <v>0</v>
      </c>
      <c r="Y85" s="43">
        <f t="shared" si="21"/>
        <v>1</v>
      </c>
      <c r="Z85" s="96">
        <f>(J85+K85+L85+M85+N85)*E85</f>
        <v>12342.4</v>
      </c>
      <c r="AA85" s="96">
        <f>Q85*E85</f>
        <v>0</v>
      </c>
      <c r="AB85" s="96">
        <f>(J85+K85+L85+M85+N85+O85)*E85</f>
        <v>12342.4</v>
      </c>
      <c r="AC85" s="5"/>
    </row>
    <row r="86" spans="1:29" s="87" customFormat="1" ht="25.5">
      <c r="A86" s="37" t="s">
        <v>173</v>
      </c>
      <c r="B86" s="38" t="s">
        <v>174</v>
      </c>
      <c r="C86" s="61" t="s">
        <v>60</v>
      </c>
      <c r="D86" s="62">
        <v>328</v>
      </c>
      <c r="E86" s="63">
        <v>51.09</v>
      </c>
      <c r="F86" s="39">
        <f>U86</f>
        <v>328</v>
      </c>
      <c r="G86" s="63">
        <v>41.54</v>
      </c>
      <c r="H86" s="64">
        <f>ROUND(D86*E86,2)</f>
        <v>16757.52</v>
      </c>
      <c r="I86" s="208" t="s">
        <v>175</v>
      </c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>
        <f t="shared" si="18"/>
        <v>0</v>
      </c>
      <c r="U86" s="65">
        <f>D86-T86</f>
        <v>328</v>
      </c>
      <c r="V86" s="65">
        <f t="shared" si="19"/>
        <v>16757.52</v>
      </c>
      <c r="W86" s="42">
        <f>(SUM(J86:R86))/D86</f>
        <v>0</v>
      </c>
      <c r="X86" s="42">
        <f t="shared" si="20"/>
        <v>0</v>
      </c>
      <c r="Y86" s="43">
        <f t="shared" si="21"/>
        <v>0</v>
      </c>
      <c r="Z86" s="96">
        <f>(J86+K86+L86+M86+N86)*E86</f>
        <v>0</v>
      </c>
      <c r="AA86" s="96">
        <f>S86*G86</f>
        <v>0</v>
      </c>
      <c r="AB86" s="96">
        <f>(J86+K86+L86+M86+N86+O86)*E86</f>
        <v>0</v>
      </c>
      <c r="AC86" s="5"/>
    </row>
    <row r="87" spans="1:29" s="87" customFormat="1" ht="25.5">
      <c r="A87" s="37" t="s">
        <v>176</v>
      </c>
      <c r="B87" s="38" t="s">
        <v>177</v>
      </c>
      <c r="C87" s="61" t="s">
        <v>60</v>
      </c>
      <c r="D87" s="62">
        <v>81.099999999999994</v>
      </c>
      <c r="E87" s="63">
        <v>70.599999999999994</v>
      </c>
      <c r="F87" s="39" t="e">
        <f>U87</f>
        <v>#REF!</v>
      </c>
      <c r="G87" s="63">
        <v>57.4</v>
      </c>
      <c r="H87" s="64">
        <f>ROUND(D87*E87,2)</f>
        <v>5725.66</v>
      </c>
      <c r="I87" s="208" t="s">
        <v>178</v>
      </c>
      <c r="J87" s="65"/>
      <c r="K87" s="65"/>
      <c r="L87" s="65"/>
      <c r="M87" s="65"/>
      <c r="N87" s="65"/>
      <c r="O87" s="65"/>
      <c r="P87" s="65"/>
      <c r="Q87" s="65"/>
      <c r="R87" s="65"/>
      <c r="S87" s="65" t="e">
        <f>#REF!</f>
        <v>#REF!</v>
      </c>
      <c r="T87" s="65" t="e">
        <f t="shared" si="18"/>
        <v>#REF!</v>
      </c>
      <c r="U87" s="65" t="e">
        <f>D87-T87</f>
        <v>#REF!</v>
      </c>
      <c r="V87" s="65" t="e">
        <f t="shared" si="19"/>
        <v>#REF!</v>
      </c>
      <c r="W87" s="42">
        <f>(SUM(J87:R87))/D87</f>
        <v>0</v>
      </c>
      <c r="X87" s="42" t="e">
        <f t="shared" si="20"/>
        <v>#REF!</v>
      </c>
      <c r="Y87" s="43" t="e">
        <f t="shared" si="21"/>
        <v>#REF!</v>
      </c>
      <c r="Z87" s="96">
        <f>(J87+K87+L87+M87+N87)*E87</f>
        <v>0</v>
      </c>
      <c r="AA87" s="96" t="e">
        <f>S87*G87</f>
        <v>#REF!</v>
      </c>
      <c r="AB87" s="96">
        <f>(J87+K87+L87+M87+N87+O87)*E87</f>
        <v>0</v>
      </c>
      <c r="AC87" s="223"/>
    </row>
    <row r="88" spans="1:29" s="87" customFormat="1">
      <c r="A88" s="202"/>
      <c r="B88" s="202"/>
      <c r="C88" s="202"/>
      <c r="D88" s="58"/>
      <c r="E88" s="63">
        <v>0</v>
      </c>
      <c r="F88" s="190"/>
      <c r="G88" s="63">
        <v>0</v>
      </c>
      <c r="H88" s="59"/>
      <c r="I88" s="204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65">
        <f t="shared" si="18"/>
        <v>0</v>
      </c>
      <c r="U88" s="79"/>
      <c r="V88" s="65">
        <f t="shared" si="19"/>
        <v>0</v>
      </c>
      <c r="W88" s="42">
        <v>0</v>
      </c>
      <c r="X88" s="42">
        <f t="shared" si="20"/>
        <v>0</v>
      </c>
      <c r="Y88" s="43">
        <f t="shared" si="21"/>
        <v>0</v>
      </c>
      <c r="Z88" s="96">
        <f>(J88+K88+L88+M88)*E88</f>
        <v>0</v>
      </c>
      <c r="AA88" s="96">
        <f>Q88*E88</f>
        <v>0</v>
      </c>
      <c r="AB88" s="96">
        <f>(J88+K88+L88+M88+N88)*E88</f>
        <v>0</v>
      </c>
    </row>
    <row r="89" spans="1:29" s="88" customFormat="1" ht="19.5">
      <c r="A89" s="53">
        <v>9</v>
      </c>
      <c r="B89" s="31" t="s">
        <v>179</v>
      </c>
      <c r="C89" s="32"/>
      <c r="D89" s="33"/>
      <c r="E89" s="34">
        <v>0</v>
      </c>
      <c r="F89" s="34"/>
      <c r="G89" s="34">
        <v>0</v>
      </c>
      <c r="H89" s="35">
        <f>SUM(H90:H94)</f>
        <v>74552.73000000001</v>
      </c>
      <c r="I89" s="48"/>
      <c r="J89" s="60"/>
      <c r="K89" s="60"/>
      <c r="L89" s="103"/>
      <c r="M89" s="60"/>
      <c r="N89" s="60"/>
      <c r="O89" s="60"/>
      <c r="P89" s="60"/>
      <c r="Q89" s="60"/>
      <c r="R89" s="103"/>
      <c r="S89" s="60"/>
      <c r="T89" s="60"/>
      <c r="U89" s="60"/>
      <c r="V89" s="35" t="e">
        <f>SUM(V90:V94)</f>
        <v>#REF!</v>
      </c>
      <c r="W89" s="36"/>
      <c r="X89" s="140"/>
      <c r="Y89" s="36"/>
      <c r="Z89" s="35">
        <f>SUM(Z90:Z94)</f>
        <v>12809.636</v>
      </c>
      <c r="AA89" s="35" t="e">
        <f>SUM(AA90:AA94)</f>
        <v>#REF!</v>
      </c>
      <c r="AB89" s="35">
        <f>SUM(AB90:AB94)</f>
        <v>12809.636</v>
      </c>
      <c r="AC89" s="222"/>
    </row>
    <row r="90" spans="1:29" ht="15">
      <c r="A90" s="130" t="s">
        <v>180</v>
      </c>
      <c r="B90" s="188" t="s">
        <v>181</v>
      </c>
      <c r="C90" s="130" t="s">
        <v>60</v>
      </c>
      <c r="D90" s="39">
        <v>633.20000000000005</v>
      </c>
      <c r="E90" s="40">
        <v>20.23</v>
      </c>
      <c r="F90" s="200"/>
      <c r="G90" s="40">
        <v>16.45</v>
      </c>
      <c r="H90" s="41">
        <f>ROUND(D90*E90,2)</f>
        <v>12809.64</v>
      </c>
      <c r="I90" s="164" t="s">
        <v>182</v>
      </c>
      <c r="J90" s="65">
        <v>633.20000000000005</v>
      </c>
      <c r="K90" s="65"/>
      <c r="L90" s="65"/>
      <c r="M90" s="65"/>
      <c r="N90" s="65"/>
      <c r="O90" s="65"/>
      <c r="P90" s="65"/>
      <c r="Q90" s="65"/>
      <c r="R90" s="65"/>
      <c r="S90" s="65"/>
      <c r="T90" s="65">
        <f t="shared" ref="T90:T95" si="22">SUM(J90:S90)</f>
        <v>633.20000000000005</v>
      </c>
      <c r="U90" s="65">
        <f>D90-T90</f>
        <v>0</v>
      </c>
      <c r="V90" s="65">
        <f t="shared" ref="V90:V95" si="23">U90*E90</f>
        <v>0</v>
      </c>
      <c r="W90" s="42">
        <f>(SUM(J90:R90))/D90</f>
        <v>1</v>
      </c>
      <c r="X90" s="42">
        <f t="shared" ref="X90:X95" si="24">IF(D90=0,0,S90/D90)</f>
        <v>0</v>
      </c>
      <c r="Y90" s="43">
        <f t="shared" ref="Y90:Y95" si="25">W90+X90</f>
        <v>1</v>
      </c>
      <c r="Z90" s="96">
        <f>(J90+K90+L90+M90+N90)*E90</f>
        <v>12809.636</v>
      </c>
      <c r="AA90" s="96">
        <f>Q90*E90</f>
        <v>0</v>
      </c>
      <c r="AB90" s="96">
        <f>(J90+K90+L90+M90+N90+O90)*E90</f>
        <v>12809.636</v>
      </c>
      <c r="AC90" s="5"/>
    </row>
    <row r="91" spans="1:29" s="87" customFormat="1" ht="25.5">
      <c r="A91" s="37" t="s">
        <v>183</v>
      </c>
      <c r="B91" s="38" t="s">
        <v>184</v>
      </c>
      <c r="C91" s="61" t="s">
        <v>60</v>
      </c>
      <c r="D91" s="62">
        <v>633.20000000000005</v>
      </c>
      <c r="E91" s="63">
        <v>70.25</v>
      </c>
      <c r="F91" s="39">
        <f>U91</f>
        <v>633.20000000000005</v>
      </c>
      <c r="G91" s="63">
        <v>57.11</v>
      </c>
      <c r="H91" s="64">
        <f>ROUND(D91*E91,2)</f>
        <v>44482.3</v>
      </c>
      <c r="I91" s="155" t="s">
        <v>85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>
        <f t="shared" si="22"/>
        <v>0</v>
      </c>
      <c r="U91" s="65">
        <f>D91-T91</f>
        <v>633.20000000000005</v>
      </c>
      <c r="V91" s="65">
        <f t="shared" si="23"/>
        <v>44482.3</v>
      </c>
      <c r="W91" s="42">
        <f>(SUM(J91:R91))/D91</f>
        <v>0</v>
      </c>
      <c r="X91" s="42">
        <f t="shared" si="24"/>
        <v>0</v>
      </c>
      <c r="Y91" s="43">
        <f t="shared" si="25"/>
        <v>0</v>
      </c>
      <c r="Z91" s="96">
        <f>(J91+K91+L91+M91+N91)*E91</f>
        <v>0</v>
      </c>
      <c r="AA91" s="96">
        <f>S91*G91</f>
        <v>0</v>
      </c>
      <c r="AB91" s="96">
        <f>(J91+K91+L91+M91+N91+O91)*E91</f>
        <v>0</v>
      </c>
      <c r="AC91" s="5"/>
    </row>
    <row r="92" spans="1:29" s="87" customFormat="1" ht="25.5">
      <c r="A92" s="37" t="s">
        <v>185</v>
      </c>
      <c r="B92" s="38" t="s">
        <v>186</v>
      </c>
      <c r="C92" s="61" t="s">
        <v>60</v>
      </c>
      <c r="D92" s="62">
        <v>195.4</v>
      </c>
      <c r="E92" s="63">
        <v>53.19</v>
      </c>
      <c r="F92" s="39" t="e">
        <f>U92</f>
        <v>#REF!</v>
      </c>
      <c r="G92" s="63">
        <v>43.24</v>
      </c>
      <c r="H92" s="64">
        <f>ROUND(D92*E92,2)</f>
        <v>10393.33</v>
      </c>
      <c r="I92" s="155" t="s">
        <v>85</v>
      </c>
      <c r="J92" s="65"/>
      <c r="K92" s="65"/>
      <c r="L92" s="65"/>
      <c r="M92" s="65"/>
      <c r="N92" s="65"/>
      <c r="O92" s="65"/>
      <c r="P92" s="65"/>
      <c r="Q92" s="65"/>
      <c r="R92" s="65"/>
      <c r="S92" s="65" t="e">
        <f>#REF!</f>
        <v>#REF!</v>
      </c>
      <c r="T92" s="65" t="e">
        <f t="shared" si="22"/>
        <v>#REF!</v>
      </c>
      <c r="U92" s="65" t="e">
        <f>D92-T92</f>
        <v>#REF!</v>
      </c>
      <c r="V92" s="65" t="e">
        <f t="shared" si="23"/>
        <v>#REF!</v>
      </c>
      <c r="W92" s="42">
        <f>(SUM(J92:R92))/D92</f>
        <v>0</v>
      </c>
      <c r="X92" s="42" t="e">
        <f t="shared" si="24"/>
        <v>#REF!</v>
      </c>
      <c r="Y92" s="43" t="e">
        <f t="shared" si="25"/>
        <v>#REF!</v>
      </c>
      <c r="Z92" s="96">
        <f>(J92+K92+L92+M92+N92)*E92</f>
        <v>0</v>
      </c>
      <c r="AA92" s="96" t="e">
        <f>S92*G92</f>
        <v>#REF!</v>
      </c>
      <c r="AB92" s="96">
        <f>(J92+K92+L92+M92+N92+O92)*E92</f>
        <v>0</v>
      </c>
      <c r="AC92" s="223"/>
    </row>
    <row r="93" spans="1:29" s="87" customFormat="1" ht="36.75" customHeight="1">
      <c r="A93" s="37" t="s">
        <v>187</v>
      </c>
      <c r="B93" s="38" t="s">
        <v>188</v>
      </c>
      <c r="C93" s="61" t="s">
        <v>189</v>
      </c>
      <c r="D93" s="62">
        <v>627.04999999999995</v>
      </c>
      <c r="E93" s="63">
        <v>7.6</v>
      </c>
      <c r="F93" s="39">
        <f>U93</f>
        <v>627.04999999999995</v>
      </c>
      <c r="G93" s="63">
        <v>6.18</v>
      </c>
      <c r="H93" s="64">
        <f>ROUND(D93*E93,2)</f>
        <v>4765.58</v>
      </c>
      <c r="I93" s="208" t="s">
        <v>190</v>
      </c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>
        <f t="shared" si="22"/>
        <v>0</v>
      </c>
      <c r="U93" s="65">
        <f>D93-T93</f>
        <v>627.04999999999995</v>
      </c>
      <c r="V93" s="65">
        <f t="shared" si="23"/>
        <v>4765.579999999999</v>
      </c>
      <c r="W93" s="42">
        <f>(SUM(J93:R93))/D93</f>
        <v>0</v>
      </c>
      <c r="X93" s="42">
        <f t="shared" si="24"/>
        <v>0</v>
      </c>
      <c r="Y93" s="43">
        <f t="shared" si="25"/>
        <v>0</v>
      </c>
      <c r="Z93" s="96">
        <f>(J93+K93+L93+M93+N93)*E93</f>
        <v>0</v>
      </c>
      <c r="AA93" s="96">
        <f>S93*G93</f>
        <v>0</v>
      </c>
      <c r="AB93" s="96">
        <f>(J93+K93+L93+M93+N93+O93)*E93</f>
        <v>0</v>
      </c>
      <c r="AC93" s="5"/>
    </row>
    <row r="94" spans="1:29" s="87" customFormat="1" ht="24" customHeight="1">
      <c r="A94" s="37" t="s">
        <v>191</v>
      </c>
      <c r="B94" s="38" t="s">
        <v>192</v>
      </c>
      <c r="C94" s="61" t="s">
        <v>60</v>
      </c>
      <c r="D94" s="62">
        <v>62.5</v>
      </c>
      <c r="E94" s="63">
        <v>33.630000000000003</v>
      </c>
      <c r="F94" s="39">
        <f>U94</f>
        <v>62.5</v>
      </c>
      <c r="G94" s="63">
        <v>27.34</v>
      </c>
      <c r="H94" s="64">
        <f>ROUND(D94*E94,2)</f>
        <v>2101.88</v>
      </c>
      <c r="I94" s="208" t="s">
        <v>193</v>
      </c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>
        <f t="shared" si="22"/>
        <v>0</v>
      </c>
      <c r="U94" s="65">
        <f>D94-T94</f>
        <v>62.5</v>
      </c>
      <c r="V94" s="65">
        <f t="shared" si="23"/>
        <v>2101.875</v>
      </c>
      <c r="W94" s="42">
        <f>(SUM(J94:R94))/D94</f>
        <v>0</v>
      </c>
      <c r="X94" s="42">
        <f t="shared" si="24"/>
        <v>0</v>
      </c>
      <c r="Y94" s="43">
        <f t="shared" si="25"/>
        <v>0</v>
      </c>
      <c r="Z94" s="96">
        <f>(J94+K94+L94+M94+N94)*E94</f>
        <v>0</v>
      </c>
      <c r="AA94" s="96">
        <f>S94*G94</f>
        <v>0</v>
      </c>
      <c r="AB94" s="96">
        <f>(J94+K94+L94+M94+N94+O94)*E94</f>
        <v>0</v>
      </c>
      <c r="AC94" s="5"/>
    </row>
    <row r="95" spans="1:29" s="87" customFormat="1">
      <c r="A95" s="202"/>
      <c r="B95" s="202"/>
      <c r="C95" s="202"/>
      <c r="D95" s="58"/>
      <c r="E95" s="63"/>
      <c r="F95" s="190"/>
      <c r="G95" s="63">
        <v>0</v>
      </c>
      <c r="H95" s="59"/>
      <c r="I95" s="204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65">
        <f t="shared" si="22"/>
        <v>0</v>
      </c>
      <c r="U95" s="79"/>
      <c r="V95" s="65">
        <f t="shared" si="23"/>
        <v>0</v>
      </c>
      <c r="W95" s="42">
        <v>0</v>
      </c>
      <c r="X95" s="42">
        <f t="shared" si="24"/>
        <v>0</v>
      </c>
      <c r="Y95" s="43">
        <f t="shared" si="25"/>
        <v>0</v>
      </c>
      <c r="Z95" s="96">
        <f>(J95+K95+L95+M95)*E95</f>
        <v>0</v>
      </c>
      <c r="AA95" s="96">
        <f>Q95*E95</f>
        <v>0</v>
      </c>
      <c r="AB95" s="96">
        <f>(J95+K95+L95+M95+N95)*E95</f>
        <v>0</v>
      </c>
    </row>
    <row r="96" spans="1:29" s="89" customFormat="1" ht="19.5">
      <c r="A96" s="53">
        <v>10</v>
      </c>
      <c r="B96" s="31" t="s">
        <v>194</v>
      </c>
      <c r="C96" s="32"/>
      <c r="D96" s="66"/>
      <c r="E96" s="67">
        <v>0</v>
      </c>
      <c r="F96" s="67"/>
      <c r="G96" s="67">
        <v>0</v>
      </c>
      <c r="H96" s="68">
        <f>SUM(H97:H104)</f>
        <v>89641.659999999989</v>
      </c>
      <c r="I96" s="162"/>
      <c r="J96" s="60"/>
      <c r="K96" s="60"/>
      <c r="L96" s="103"/>
      <c r="M96" s="60"/>
      <c r="N96" s="60"/>
      <c r="O96" s="60"/>
      <c r="P96" s="60"/>
      <c r="Q96" s="60"/>
      <c r="R96" s="103"/>
      <c r="S96" s="60"/>
      <c r="T96" s="60"/>
      <c r="U96" s="60"/>
      <c r="V96" s="68" t="e">
        <f>SUM(V97:V104)</f>
        <v>#REF!</v>
      </c>
      <c r="W96" s="60"/>
      <c r="X96" s="140"/>
      <c r="Y96" s="76">
        <f>J96</f>
        <v>0</v>
      </c>
      <c r="Z96" s="68">
        <f>SUM(Z97:Z104)</f>
        <v>33724.746200000001</v>
      </c>
      <c r="AA96" s="68" t="e">
        <f>SUM(AA97:AA104)</f>
        <v>#REF!</v>
      </c>
      <c r="AB96" s="68">
        <f>SUM(AB97:AB104)</f>
        <v>40028.281600000002</v>
      </c>
      <c r="AC96" s="224" t="e">
        <f>AA96</f>
        <v>#REF!</v>
      </c>
    </row>
    <row r="97" spans="1:29" s="87" customFormat="1">
      <c r="A97" s="37" t="s">
        <v>195</v>
      </c>
      <c r="B97" s="38" t="s">
        <v>196</v>
      </c>
      <c r="C97" s="61" t="s">
        <v>60</v>
      </c>
      <c r="D97" s="62">
        <v>847.2</v>
      </c>
      <c r="E97" s="63">
        <v>2.94</v>
      </c>
      <c r="F97" s="39" t="e">
        <f t="shared" ref="F97:F104" si="26">U97</f>
        <v>#REF!</v>
      </c>
      <c r="G97" s="63">
        <v>2.39</v>
      </c>
      <c r="H97" s="64">
        <f t="shared" ref="H97:H104" si="27">ROUND(D97*E97,2)</f>
        <v>2490.77</v>
      </c>
      <c r="I97" s="208" t="s">
        <v>197</v>
      </c>
      <c r="J97" s="65"/>
      <c r="K97" s="65"/>
      <c r="L97" s="65"/>
      <c r="M97" s="65"/>
      <c r="N97" s="65"/>
      <c r="O97" s="65"/>
      <c r="P97" s="65"/>
      <c r="Q97" s="65"/>
      <c r="R97" s="65"/>
      <c r="S97" s="65" t="e">
        <f>#REF!</f>
        <v>#REF!</v>
      </c>
      <c r="T97" s="65" t="e">
        <f t="shared" ref="T97:T105" si="28">SUM(J97:S97)</f>
        <v>#REF!</v>
      </c>
      <c r="U97" s="65" t="e">
        <f t="shared" ref="U97:U104" si="29">D97-T97</f>
        <v>#REF!</v>
      </c>
      <c r="V97" s="65" t="e">
        <f t="shared" ref="V97:V105" si="30">U97*E97</f>
        <v>#REF!</v>
      </c>
      <c r="W97" s="42">
        <f t="shared" ref="W97:W104" si="31">(SUM(J97:R97))/D97</f>
        <v>0</v>
      </c>
      <c r="X97" s="42" t="e">
        <f t="shared" ref="X97:X105" si="32">IF(D97=0,0,S97/D97)</f>
        <v>#REF!</v>
      </c>
      <c r="Y97" s="43" t="e">
        <f t="shared" ref="Y97:Y105" si="33">W97+X97</f>
        <v>#REF!</v>
      </c>
      <c r="Z97" s="96">
        <f>(J97+K97+L97+M97+N97)*E97</f>
        <v>0</v>
      </c>
      <c r="AA97" s="96" t="e">
        <f t="shared" ref="AA97:AA104" si="34">S97*G97</f>
        <v>#REF!</v>
      </c>
      <c r="AB97" s="96">
        <f>(J97+K97+L97+M97+N97+O97)*E97</f>
        <v>0</v>
      </c>
      <c r="AC97" s="5"/>
    </row>
    <row r="98" spans="1:29" s="87" customFormat="1">
      <c r="A98" s="37" t="s">
        <v>198</v>
      </c>
      <c r="B98" s="38" t="s">
        <v>199</v>
      </c>
      <c r="C98" s="61" t="s">
        <v>189</v>
      </c>
      <c r="D98" s="62">
        <v>360</v>
      </c>
      <c r="E98" s="63">
        <v>8.6</v>
      </c>
      <c r="F98" s="39">
        <f t="shared" si="26"/>
        <v>360</v>
      </c>
      <c r="G98" s="63">
        <v>6.99</v>
      </c>
      <c r="H98" s="64">
        <f t="shared" si="27"/>
        <v>3096</v>
      </c>
      <c r="I98" s="209" t="s">
        <v>200</v>
      </c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>
        <f t="shared" si="28"/>
        <v>0</v>
      </c>
      <c r="U98" s="65">
        <f t="shared" si="29"/>
        <v>360</v>
      </c>
      <c r="V98" s="65">
        <f t="shared" si="30"/>
        <v>3096</v>
      </c>
      <c r="W98" s="42">
        <f t="shared" si="31"/>
        <v>0</v>
      </c>
      <c r="X98" s="42">
        <f t="shared" si="32"/>
        <v>0</v>
      </c>
      <c r="Y98" s="43">
        <f t="shared" si="33"/>
        <v>0</v>
      </c>
      <c r="Z98" s="96">
        <f>(J98+K98+L98+M98+N98)*E98</f>
        <v>0</v>
      </c>
      <c r="AA98" s="96">
        <f t="shared" si="34"/>
        <v>0</v>
      </c>
      <c r="AB98" s="96">
        <f>(J98+K98+L98+M98+N98+O98)*E98</f>
        <v>0</v>
      </c>
      <c r="AC98" s="5"/>
    </row>
    <row r="99" spans="1:29" s="87" customFormat="1" ht="26.25" customHeight="1">
      <c r="A99" s="37" t="s">
        <v>201</v>
      </c>
      <c r="B99" s="38" t="s">
        <v>202</v>
      </c>
      <c r="C99" s="61" t="s">
        <v>60</v>
      </c>
      <c r="D99" s="62">
        <v>88.6</v>
      </c>
      <c r="E99" s="63">
        <v>12.95</v>
      </c>
      <c r="F99" s="39">
        <f t="shared" si="26"/>
        <v>88.6</v>
      </c>
      <c r="G99" s="63">
        <v>10.53</v>
      </c>
      <c r="H99" s="64">
        <f t="shared" si="27"/>
        <v>1147.3699999999999</v>
      </c>
      <c r="I99" s="208" t="s">
        <v>203</v>
      </c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>
        <f t="shared" si="28"/>
        <v>0</v>
      </c>
      <c r="U99" s="65">
        <f t="shared" si="29"/>
        <v>88.6</v>
      </c>
      <c r="V99" s="65">
        <f t="shared" si="30"/>
        <v>1147.3699999999999</v>
      </c>
      <c r="W99" s="42">
        <f t="shared" si="31"/>
        <v>0</v>
      </c>
      <c r="X99" s="42">
        <f t="shared" si="32"/>
        <v>0</v>
      </c>
      <c r="Y99" s="43">
        <f t="shared" si="33"/>
        <v>0</v>
      </c>
      <c r="Z99" s="96">
        <f>(J99+K99+L99+M99+N99)*E99</f>
        <v>0</v>
      </c>
      <c r="AA99" s="96">
        <f t="shared" si="34"/>
        <v>0</v>
      </c>
      <c r="AB99" s="96">
        <f>(J99+K99+L99+M99+N99+O99)*E99</f>
        <v>0</v>
      </c>
      <c r="AC99" s="5"/>
    </row>
    <row r="100" spans="1:29" s="87" customFormat="1" ht="25.5">
      <c r="A100" s="37" t="s">
        <v>204</v>
      </c>
      <c r="B100" s="38" t="s">
        <v>205</v>
      </c>
      <c r="C100" s="61" t="s">
        <v>60</v>
      </c>
      <c r="D100" s="62">
        <v>1114</v>
      </c>
      <c r="E100" s="63">
        <v>30.54</v>
      </c>
      <c r="F100" s="39">
        <f t="shared" si="26"/>
        <v>0</v>
      </c>
      <c r="G100" s="63">
        <v>24.83</v>
      </c>
      <c r="H100" s="64">
        <f t="shared" si="27"/>
        <v>34021.56</v>
      </c>
      <c r="I100" s="208" t="s">
        <v>206</v>
      </c>
      <c r="J100" s="65"/>
      <c r="K100" s="65"/>
      <c r="L100" s="65"/>
      <c r="M100" s="65"/>
      <c r="N100" s="65">
        <v>318.29000000000002</v>
      </c>
      <c r="O100" s="65">
        <v>159.13999999999999</v>
      </c>
      <c r="P100" s="65"/>
      <c r="Q100" s="65">
        <v>373.99</v>
      </c>
      <c r="R100" s="65">
        <v>159.13999999999999</v>
      </c>
      <c r="S100" s="65">
        <v>103.44</v>
      </c>
      <c r="T100" s="65">
        <f t="shared" si="28"/>
        <v>1114</v>
      </c>
      <c r="U100" s="65">
        <f t="shared" si="29"/>
        <v>0</v>
      </c>
      <c r="V100" s="65">
        <f t="shared" si="30"/>
        <v>0</v>
      </c>
      <c r="W100" s="42">
        <f t="shared" si="31"/>
        <v>0.90714542190305214</v>
      </c>
      <c r="X100" s="42">
        <f t="shared" si="32"/>
        <v>9.2854578096947929E-2</v>
      </c>
      <c r="Y100" s="43">
        <f>W100+X100</f>
        <v>1</v>
      </c>
      <c r="Z100" s="96">
        <f>(J100+K100+L100+M100+N100+O100+P100+Q100)*E100</f>
        <v>26002.3668</v>
      </c>
      <c r="AA100" s="96">
        <f>S100*E100</f>
        <v>3159.0575999999996</v>
      </c>
      <c r="AB100" s="96">
        <f>(J100+K100+L100+M100+N100+O100+P100+Q100+R100)*E100</f>
        <v>30862.502400000001</v>
      </c>
      <c r="AC100" s="5"/>
    </row>
    <row r="101" spans="1:29" s="87" customFormat="1" ht="25.5">
      <c r="A101" s="37" t="s">
        <v>207</v>
      </c>
      <c r="B101" s="38" t="s">
        <v>208</v>
      </c>
      <c r="C101" s="61" t="s">
        <v>60</v>
      </c>
      <c r="D101" s="62">
        <v>1114</v>
      </c>
      <c r="E101" s="63">
        <v>9.07</v>
      </c>
      <c r="F101" s="39">
        <f t="shared" si="26"/>
        <v>0</v>
      </c>
      <c r="G101" s="63">
        <v>7.37</v>
      </c>
      <c r="H101" s="64">
        <f t="shared" si="27"/>
        <v>10103.98</v>
      </c>
      <c r="I101" s="208" t="s">
        <v>209</v>
      </c>
      <c r="J101" s="65"/>
      <c r="K101" s="65"/>
      <c r="L101" s="65"/>
      <c r="M101" s="65"/>
      <c r="N101" s="65">
        <v>318.29000000000002</v>
      </c>
      <c r="O101" s="65">
        <v>159.13999999999999</v>
      </c>
      <c r="P101" s="65"/>
      <c r="Q101" s="65">
        <v>373.99</v>
      </c>
      <c r="R101" s="65">
        <v>159.13999999999999</v>
      </c>
      <c r="S101" s="65">
        <v>103.44</v>
      </c>
      <c r="T101" s="65">
        <f t="shared" si="28"/>
        <v>1114</v>
      </c>
      <c r="U101" s="65">
        <f t="shared" si="29"/>
        <v>0</v>
      </c>
      <c r="V101" s="65">
        <f t="shared" si="30"/>
        <v>0</v>
      </c>
      <c r="W101" s="42">
        <f t="shared" si="31"/>
        <v>0.90714542190305214</v>
      </c>
      <c r="X101" s="42">
        <f t="shared" si="32"/>
        <v>9.2854578096947929E-2</v>
      </c>
      <c r="Y101" s="43">
        <f>W101+X101</f>
        <v>1</v>
      </c>
      <c r="Z101" s="96">
        <f>(J101+K101+L101+M101+N101+O101+P101+Q101)*E101</f>
        <v>7722.3794000000007</v>
      </c>
      <c r="AA101" s="96">
        <f>S101*E101</f>
        <v>938.20079999999996</v>
      </c>
      <c r="AB101" s="96">
        <f>(J101+K101+L101+M101+N101+O101+P101+Q101+R101)*E101</f>
        <v>9165.7792000000009</v>
      </c>
      <c r="AC101" s="5"/>
    </row>
    <row r="102" spans="1:29" s="87" customFormat="1" ht="25.5">
      <c r="A102" s="37" t="s">
        <v>210</v>
      </c>
      <c r="B102" s="38" t="s">
        <v>211</v>
      </c>
      <c r="C102" s="61" t="s">
        <v>60</v>
      </c>
      <c r="D102" s="62">
        <v>847.2</v>
      </c>
      <c r="E102" s="63">
        <v>11.62</v>
      </c>
      <c r="F102" s="39">
        <f t="shared" si="26"/>
        <v>847.2</v>
      </c>
      <c r="G102" s="63">
        <v>9.4499999999999993</v>
      </c>
      <c r="H102" s="64">
        <f t="shared" si="27"/>
        <v>9844.4599999999991</v>
      </c>
      <c r="I102" s="208" t="s">
        <v>209</v>
      </c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>
        <f t="shared" si="28"/>
        <v>0</v>
      </c>
      <c r="U102" s="65">
        <f t="shared" si="29"/>
        <v>847.2</v>
      </c>
      <c r="V102" s="65">
        <f t="shared" si="30"/>
        <v>9844.4639999999999</v>
      </c>
      <c r="W102" s="42">
        <f t="shared" si="31"/>
        <v>0</v>
      </c>
      <c r="X102" s="42">
        <f t="shared" si="32"/>
        <v>0</v>
      </c>
      <c r="Y102" s="43">
        <f t="shared" si="33"/>
        <v>0</v>
      </c>
      <c r="Z102" s="96">
        <f>(J102+K102+L102+M102+N102)*E102</f>
        <v>0</v>
      </c>
      <c r="AA102" s="96">
        <f t="shared" si="34"/>
        <v>0</v>
      </c>
      <c r="AB102" s="96">
        <f>(J102+K102+L102+M102+N102+O102)*E102</f>
        <v>0</v>
      </c>
      <c r="AC102" s="5"/>
    </row>
    <row r="103" spans="1:29" s="90" customFormat="1">
      <c r="A103" s="37" t="s">
        <v>212</v>
      </c>
      <c r="B103" s="38" t="s">
        <v>213</v>
      </c>
      <c r="C103" s="37" t="s">
        <v>60</v>
      </c>
      <c r="D103" s="39">
        <v>480</v>
      </c>
      <c r="E103" s="63">
        <v>28.93</v>
      </c>
      <c r="F103" s="39">
        <f t="shared" si="26"/>
        <v>480</v>
      </c>
      <c r="G103" s="63">
        <v>23.52</v>
      </c>
      <c r="H103" s="64">
        <f t="shared" si="27"/>
        <v>13886.4</v>
      </c>
      <c r="I103" s="208" t="s">
        <v>214</v>
      </c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>
        <f t="shared" si="28"/>
        <v>0</v>
      </c>
      <c r="U103" s="65">
        <f t="shared" si="29"/>
        <v>480</v>
      </c>
      <c r="V103" s="65">
        <f t="shared" si="30"/>
        <v>13886.4</v>
      </c>
      <c r="W103" s="42">
        <f t="shared" si="31"/>
        <v>0</v>
      </c>
      <c r="X103" s="42">
        <f t="shared" si="32"/>
        <v>0</v>
      </c>
      <c r="Y103" s="43">
        <f t="shared" si="33"/>
        <v>0</v>
      </c>
      <c r="Z103" s="96">
        <f>(J103+K103+L103+M103+N103)*E103</f>
        <v>0</v>
      </c>
      <c r="AA103" s="96">
        <f t="shared" si="34"/>
        <v>0</v>
      </c>
      <c r="AB103" s="96">
        <f>(J103+K103+L103+M103+N103+O103)*E103</f>
        <v>0</v>
      </c>
      <c r="AC103" s="5"/>
    </row>
    <row r="104" spans="1:29" s="87" customFormat="1" ht="25.5">
      <c r="A104" s="37" t="s">
        <v>215</v>
      </c>
      <c r="B104" s="38" t="s">
        <v>216</v>
      </c>
      <c r="C104" s="61" t="s">
        <v>60</v>
      </c>
      <c r="D104" s="62">
        <v>476</v>
      </c>
      <c r="E104" s="63">
        <v>31.62</v>
      </c>
      <c r="F104" s="39">
        <f t="shared" si="26"/>
        <v>476</v>
      </c>
      <c r="G104" s="63">
        <v>25.71</v>
      </c>
      <c r="H104" s="64">
        <f t="shared" si="27"/>
        <v>15051.12</v>
      </c>
      <c r="I104" s="208" t="s">
        <v>217</v>
      </c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>
        <f t="shared" si="28"/>
        <v>0</v>
      </c>
      <c r="U104" s="65">
        <f t="shared" si="29"/>
        <v>476</v>
      </c>
      <c r="V104" s="65">
        <f t="shared" si="30"/>
        <v>15051.12</v>
      </c>
      <c r="W104" s="42">
        <f t="shared" si="31"/>
        <v>0</v>
      </c>
      <c r="X104" s="42">
        <f t="shared" si="32"/>
        <v>0</v>
      </c>
      <c r="Y104" s="43">
        <f t="shared" si="33"/>
        <v>0</v>
      </c>
      <c r="Z104" s="96">
        <f>(J104+K104+L104+M104+N104)*E104</f>
        <v>0</v>
      </c>
      <c r="AA104" s="96">
        <f t="shared" si="34"/>
        <v>0</v>
      </c>
      <c r="AB104" s="96">
        <f>(J104+K104+L104+M104+N104+O104)*E104</f>
        <v>0</v>
      </c>
      <c r="AC104" s="5"/>
    </row>
    <row r="105" spans="1:29" s="87" customFormat="1">
      <c r="A105" s="202"/>
      <c r="B105" s="202"/>
      <c r="C105" s="202"/>
      <c r="D105" s="58"/>
      <c r="E105" s="63"/>
      <c r="F105" s="190"/>
      <c r="G105" s="63">
        <v>0</v>
      </c>
      <c r="H105" s="59"/>
      <c r="I105" s="204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65">
        <f t="shared" si="28"/>
        <v>0</v>
      </c>
      <c r="U105" s="79"/>
      <c r="V105" s="65">
        <f t="shared" si="30"/>
        <v>0</v>
      </c>
      <c r="W105" s="42">
        <v>0</v>
      </c>
      <c r="X105" s="42">
        <f t="shared" si="32"/>
        <v>0</v>
      </c>
      <c r="Y105" s="43">
        <f t="shared" si="33"/>
        <v>0</v>
      </c>
      <c r="Z105" s="96">
        <f>(J105+K105+L105+M105)*E105</f>
        <v>0</v>
      </c>
      <c r="AA105" s="96">
        <f>Q105*E105</f>
        <v>0</v>
      </c>
      <c r="AB105" s="96">
        <f>(J105+K105+L105+M105+N105)*E105</f>
        <v>0</v>
      </c>
    </row>
    <row r="106" spans="1:29" s="88" customFormat="1">
      <c r="A106" s="53">
        <v>11</v>
      </c>
      <c r="B106" s="31" t="s">
        <v>218</v>
      </c>
      <c r="C106" s="32"/>
      <c r="D106" s="33"/>
      <c r="E106" s="34">
        <v>0</v>
      </c>
      <c r="F106" s="34"/>
      <c r="G106" s="34">
        <v>0</v>
      </c>
      <c r="H106" s="35">
        <f>SUM(H107:H147)</f>
        <v>6872.2400000000016</v>
      </c>
      <c r="I106" s="48"/>
      <c r="J106" s="60"/>
      <c r="K106" s="60"/>
      <c r="L106" s="103"/>
      <c r="M106" s="60"/>
      <c r="N106" s="60"/>
      <c r="O106" s="60"/>
      <c r="P106" s="60"/>
      <c r="Q106" s="60"/>
      <c r="R106" s="103"/>
      <c r="S106" s="60"/>
      <c r="T106" s="60"/>
      <c r="U106" s="60"/>
      <c r="V106" s="35">
        <f>SUM(V107:V147)</f>
        <v>2246.39</v>
      </c>
      <c r="W106" s="36"/>
      <c r="X106" s="140"/>
      <c r="Y106" s="36"/>
      <c r="Z106" s="35">
        <f>SUM(Z107:Z147)</f>
        <v>3000.2599999999998</v>
      </c>
      <c r="AA106" s="35">
        <f>SUM(AA107:AA147)</f>
        <v>1321.62</v>
      </c>
      <c r="AB106" s="35">
        <f>SUM(AB107:AB147)</f>
        <v>3000.2599999999998</v>
      </c>
      <c r="AC106" s="1"/>
    </row>
    <row r="107" spans="1:29" ht="25.5">
      <c r="A107" s="192" t="s">
        <v>219</v>
      </c>
      <c r="B107" s="193" t="s">
        <v>220</v>
      </c>
      <c r="C107" s="192" t="s">
        <v>70</v>
      </c>
      <c r="D107" s="39">
        <v>4</v>
      </c>
      <c r="E107" s="40">
        <v>3.87</v>
      </c>
      <c r="F107" s="205"/>
      <c r="G107" s="40">
        <v>3.15</v>
      </c>
      <c r="H107" s="41">
        <f t="shared" ref="H107:H147" si="35">ROUND(D107*E107,2)</f>
        <v>15.48</v>
      </c>
      <c r="I107" s="206" t="s">
        <v>85</v>
      </c>
      <c r="J107" s="62">
        <v>4</v>
      </c>
      <c r="K107" s="62"/>
      <c r="L107" s="62"/>
      <c r="M107" s="62"/>
      <c r="N107" s="62"/>
      <c r="O107" s="62"/>
      <c r="P107" s="62"/>
      <c r="Q107" s="62"/>
      <c r="R107" s="62"/>
      <c r="S107" s="62"/>
      <c r="T107" s="65">
        <f t="shared" ref="T107:T148" si="36">SUM(J107:S107)</f>
        <v>4</v>
      </c>
      <c r="U107" s="65">
        <f t="shared" ref="U107:U147" si="37">D107-T107</f>
        <v>0</v>
      </c>
      <c r="V107" s="65">
        <f t="shared" ref="V107:V148" si="38">U107*E107</f>
        <v>0</v>
      </c>
      <c r="W107" s="42">
        <f t="shared" ref="W107:W147" si="39">(SUM(J107:R107))/D107</f>
        <v>1</v>
      </c>
      <c r="X107" s="42">
        <f t="shared" ref="X107:X148" si="40">IF(D107=0,0,S107/D107)</f>
        <v>0</v>
      </c>
      <c r="Y107" s="43">
        <f t="shared" ref="Y107:Y148" si="41">W107+X107</f>
        <v>1</v>
      </c>
      <c r="Z107" s="96">
        <f>(J107+K107+L107+M107+N107)*E107</f>
        <v>15.48</v>
      </c>
      <c r="AA107" s="96">
        <f t="shared" ref="AA107:AA112" si="42">Q107*E107</f>
        <v>0</v>
      </c>
      <c r="AB107" s="96">
        <f>(J107+K107+L107+M107+N107+O107)*E107</f>
        <v>15.48</v>
      </c>
      <c r="AC107" s="5"/>
    </row>
    <row r="108" spans="1:29" ht="25.5">
      <c r="A108" s="37" t="s">
        <v>221</v>
      </c>
      <c r="B108" s="38" t="s">
        <v>222</v>
      </c>
      <c r="C108" s="37" t="s">
        <v>70</v>
      </c>
      <c r="D108" s="39">
        <v>12</v>
      </c>
      <c r="E108" s="40">
        <v>4.4800000000000004</v>
      </c>
      <c r="F108" s="40"/>
      <c r="G108" s="40">
        <v>3.64</v>
      </c>
      <c r="H108" s="41">
        <f t="shared" si="35"/>
        <v>53.76</v>
      </c>
      <c r="I108" s="154" t="s">
        <v>85</v>
      </c>
      <c r="J108" s="62">
        <v>12</v>
      </c>
      <c r="K108" s="62"/>
      <c r="L108" s="62"/>
      <c r="M108" s="62"/>
      <c r="N108" s="62"/>
      <c r="O108" s="62"/>
      <c r="P108" s="62"/>
      <c r="Q108" s="62"/>
      <c r="R108" s="62"/>
      <c r="S108" s="62"/>
      <c r="T108" s="65">
        <f t="shared" si="36"/>
        <v>12</v>
      </c>
      <c r="U108" s="65">
        <f t="shared" si="37"/>
        <v>0</v>
      </c>
      <c r="V108" s="65">
        <f t="shared" si="38"/>
        <v>0</v>
      </c>
      <c r="W108" s="42">
        <f t="shared" si="39"/>
        <v>1</v>
      </c>
      <c r="X108" s="42">
        <f t="shared" si="40"/>
        <v>0</v>
      </c>
      <c r="Y108" s="43">
        <f t="shared" si="41"/>
        <v>1</v>
      </c>
      <c r="Z108" s="96">
        <f>(J108+K108+L108+M108+N108)*E108</f>
        <v>53.760000000000005</v>
      </c>
      <c r="AA108" s="96">
        <f t="shared" si="42"/>
        <v>0</v>
      </c>
      <c r="AB108" s="96">
        <f>(J108+K108+L108+M108+N108+O108)*E108</f>
        <v>53.760000000000005</v>
      </c>
      <c r="AC108" s="5"/>
    </row>
    <row r="109" spans="1:29" ht="25.5">
      <c r="A109" s="37" t="s">
        <v>223</v>
      </c>
      <c r="B109" s="38" t="s">
        <v>224</v>
      </c>
      <c r="C109" s="37" t="s">
        <v>70</v>
      </c>
      <c r="D109" s="39">
        <v>4</v>
      </c>
      <c r="E109" s="40">
        <v>6.22</v>
      </c>
      <c r="F109" s="40"/>
      <c r="G109" s="40">
        <v>5.0599999999999996</v>
      </c>
      <c r="H109" s="41">
        <f t="shared" si="35"/>
        <v>24.88</v>
      </c>
      <c r="I109" s="154" t="s">
        <v>85</v>
      </c>
      <c r="J109" s="62">
        <v>4</v>
      </c>
      <c r="K109" s="62"/>
      <c r="L109" s="62"/>
      <c r="M109" s="62"/>
      <c r="N109" s="62"/>
      <c r="O109" s="62"/>
      <c r="P109" s="62"/>
      <c r="Q109" s="62"/>
      <c r="R109" s="62"/>
      <c r="S109" s="62"/>
      <c r="T109" s="65">
        <f t="shared" si="36"/>
        <v>4</v>
      </c>
      <c r="U109" s="65">
        <f t="shared" si="37"/>
        <v>0</v>
      </c>
      <c r="V109" s="65">
        <f t="shared" si="38"/>
        <v>0</v>
      </c>
      <c r="W109" s="42">
        <f t="shared" si="39"/>
        <v>1</v>
      </c>
      <c r="X109" s="42">
        <f t="shared" si="40"/>
        <v>0</v>
      </c>
      <c r="Y109" s="43">
        <f t="shared" si="41"/>
        <v>1</v>
      </c>
      <c r="Z109" s="96">
        <f>(J109+K109+L109+M109+N109)*E109</f>
        <v>24.88</v>
      </c>
      <c r="AA109" s="96">
        <f t="shared" si="42"/>
        <v>0</v>
      </c>
      <c r="AB109" s="96">
        <f>(J109+K109+L109+M109+N109+O109)*E109</f>
        <v>24.88</v>
      </c>
      <c r="AC109" s="5"/>
    </row>
    <row r="110" spans="1:29" ht="25.5">
      <c r="A110" s="37" t="s">
        <v>225</v>
      </c>
      <c r="B110" s="38" t="s">
        <v>226</v>
      </c>
      <c r="C110" s="37" t="s">
        <v>70</v>
      </c>
      <c r="D110" s="39">
        <v>4</v>
      </c>
      <c r="E110" s="40">
        <v>7.88</v>
      </c>
      <c r="F110" s="40"/>
      <c r="G110" s="40">
        <v>6.41</v>
      </c>
      <c r="H110" s="41">
        <f t="shared" si="35"/>
        <v>31.52</v>
      </c>
      <c r="I110" s="154" t="s">
        <v>85</v>
      </c>
      <c r="J110" s="62">
        <v>4</v>
      </c>
      <c r="K110" s="62"/>
      <c r="L110" s="62"/>
      <c r="M110" s="62"/>
      <c r="N110" s="62"/>
      <c r="O110" s="62"/>
      <c r="P110" s="62"/>
      <c r="Q110" s="62"/>
      <c r="R110" s="62"/>
      <c r="S110" s="62"/>
      <c r="T110" s="65">
        <f t="shared" si="36"/>
        <v>4</v>
      </c>
      <c r="U110" s="65">
        <f t="shared" si="37"/>
        <v>0</v>
      </c>
      <c r="V110" s="65">
        <f t="shared" si="38"/>
        <v>0</v>
      </c>
      <c r="W110" s="42">
        <f t="shared" si="39"/>
        <v>1</v>
      </c>
      <c r="X110" s="42">
        <f t="shared" si="40"/>
        <v>0</v>
      </c>
      <c r="Y110" s="43">
        <f t="shared" si="41"/>
        <v>1</v>
      </c>
      <c r="Z110" s="96">
        <f>(J110+K110+L110+M110+N110)*E110</f>
        <v>31.52</v>
      </c>
      <c r="AA110" s="96">
        <f t="shared" si="42"/>
        <v>0</v>
      </c>
      <c r="AB110" s="96">
        <f>(J110+K110+L110+M110+N110+O110)*E110</f>
        <v>31.52</v>
      </c>
      <c r="AC110" s="5"/>
    </row>
    <row r="111" spans="1:29" s="87" customFormat="1">
      <c r="A111" s="37" t="s">
        <v>227</v>
      </c>
      <c r="B111" s="38" t="s">
        <v>228</v>
      </c>
      <c r="C111" s="61" t="s">
        <v>70</v>
      </c>
      <c r="D111" s="62">
        <v>0</v>
      </c>
      <c r="E111" s="63">
        <v>8.51</v>
      </c>
      <c r="F111" s="63"/>
      <c r="G111" s="63">
        <v>6.92</v>
      </c>
      <c r="H111" s="64">
        <f t="shared" si="35"/>
        <v>0</v>
      </c>
      <c r="I111" s="155" t="s">
        <v>229</v>
      </c>
      <c r="J111" s="65">
        <v>0</v>
      </c>
      <c r="K111" s="65">
        <v>0</v>
      </c>
      <c r="L111" s="65"/>
      <c r="M111" s="65"/>
      <c r="N111" s="65"/>
      <c r="O111" s="65"/>
      <c r="P111" s="65"/>
      <c r="Q111" s="65"/>
      <c r="R111" s="65"/>
      <c r="S111" s="65"/>
      <c r="T111" s="65">
        <f t="shared" si="36"/>
        <v>0</v>
      </c>
      <c r="U111" s="65">
        <f t="shared" si="37"/>
        <v>0</v>
      </c>
      <c r="V111" s="65">
        <f t="shared" si="38"/>
        <v>0</v>
      </c>
      <c r="W111" s="42">
        <v>0</v>
      </c>
      <c r="X111" s="42">
        <f t="shared" si="40"/>
        <v>0</v>
      </c>
      <c r="Y111" s="43">
        <f t="shared" si="41"/>
        <v>0</v>
      </c>
      <c r="Z111" s="96">
        <f>(J111+K111+L111+M111)*E111</f>
        <v>0</v>
      </c>
      <c r="AA111" s="96">
        <f t="shared" si="42"/>
        <v>0</v>
      </c>
      <c r="AB111" s="96">
        <f>(J111+K111+L111+M111+N111)*E111</f>
        <v>0</v>
      </c>
      <c r="AC111" s="5"/>
    </row>
    <row r="112" spans="1:29" s="87" customFormat="1">
      <c r="A112" s="182" t="s">
        <v>230</v>
      </c>
      <c r="B112" s="183" t="s">
        <v>231</v>
      </c>
      <c r="C112" s="184" t="s">
        <v>70</v>
      </c>
      <c r="D112" s="62">
        <v>0</v>
      </c>
      <c r="E112" s="63">
        <v>10.93</v>
      </c>
      <c r="F112" s="180"/>
      <c r="G112" s="63">
        <v>8.89</v>
      </c>
      <c r="H112" s="64">
        <f t="shared" si="35"/>
        <v>0</v>
      </c>
      <c r="I112" s="185" t="s">
        <v>232</v>
      </c>
      <c r="J112" s="65">
        <v>0</v>
      </c>
      <c r="K112" s="65">
        <v>0</v>
      </c>
      <c r="L112" s="65"/>
      <c r="M112" s="65"/>
      <c r="N112" s="65"/>
      <c r="O112" s="65"/>
      <c r="P112" s="65"/>
      <c r="Q112" s="65"/>
      <c r="R112" s="65"/>
      <c r="S112" s="65"/>
      <c r="T112" s="65">
        <f t="shared" si="36"/>
        <v>0</v>
      </c>
      <c r="U112" s="65">
        <f t="shared" si="37"/>
        <v>0</v>
      </c>
      <c r="V112" s="65">
        <f t="shared" si="38"/>
        <v>0</v>
      </c>
      <c r="W112" s="42">
        <v>0</v>
      </c>
      <c r="X112" s="42">
        <f t="shared" si="40"/>
        <v>0</v>
      </c>
      <c r="Y112" s="43">
        <f t="shared" si="41"/>
        <v>0</v>
      </c>
      <c r="Z112" s="96">
        <f>(J112+K112+L112+M112)*E112</f>
        <v>0</v>
      </c>
      <c r="AA112" s="96">
        <f t="shared" si="42"/>
        <v>0</v>
      </c>
      <c r="AB112" s="96">
        <f>(J112+K112+L112+M112+N112)*E112</f>
        <v>0</v>
      </c>
      <c r="AC112" s="5"/>
    </row>
    <row r="113" spans="1:29" s="87" customFormat="1">
      <c r="A113" s="37" t="s">
        <v>233</v>
      </c>
      <c r="B113" s="38" t="s">
        <v>234</v>
      </c>
      <c r="C113" s="61" t="s">
        <v>70</v>
      </c>
      <c r="D113" s="62">
        <v>1</v>
      </c>
      <c r="E113" s="63">
        <v>1625.59</v>
      </c>
      <c r="F113" s="39">
        <f>U113</f>
        <v>0</v>
      </c>
      <c r="G113" s="63">
        <v>1321.62</v>
      </c>
      <c r="H113" s="64">
        <f t="shared" si="35"/>
        <v>1625.59</v>
      </c>
      <c r="I113" s="208" t="s">
        <v>235</v>
      </c>
      <c r="J113" s="62"/>
      <c r="K113" s="62"/>
      <c r="L113" s="62"/>
      <c r="M113" s="62"/>
      <c r="N113" s="62"/>
      <c r="O113" s="62"/>
      <c r="P113" s="62"/>
      <c r="Q113" s="62"/>
      <c r="R113" s="62"/>
      <c r="S113" s="62">
        <v>1</v>
      </c>
      <c r="T113" s="65">
        <f t="shared" si="36"/>
        <v>1</v>
      </c>
      <c r="U113" s="65">
        <f t="shared" si="37"/>
        <v>0</v>
      </c>
      <c r="V113" s="65">
        <f t="shared" si="38"/>
        <v>0</v>
      </c>
      <c r="W113" s="42">
        <f t="shared" si="39"/>
        <v>0</v>
      </c>
      <c r="X113" s="42">
        <f t="shared" si="40"/>
        <v>1</v>
      </c>
      <c r="Y113" s="43">
        <f t="shared" si="41"/>
        <v>1</v>
      </c>
      <c r="Z113" s="96">
        <f>(J113+K113+L113+M113+N113)*E113</f>
        <v>0</v>
      </c>
      <c r="AA113" s="96">
        <f>S113*G113</f>
        <v>1321.62</v>
      </c>
      <c r="AB113" s="96">
        <f>(J113+K113+L113+M113+N113+O113)*E113</f>
        <v>0</v>
      </c>
      <c r="AC113" s="5"/>
    </row>
    <row r="114" spans="1:29" s="87" customFormat="1">
      <c r="A114" s="37" t="s">
        <v>236</v>
      </c>
      <c r="B114" s="38" t="s">
        <v>237</v>
      </c>
      <c r="C114" s="61" t="s">
        <v>70</v>
      </c>
      <c r="D114" s="62">
        <v>10</v>
      </c>
      <c r="E114" s="63">
        <v>6.43</v>
      </c>
      <c r="F114" s="39">
        <f>U114</f>
        <v>10</v>
      </c>
      <c r="G114" s="63">
        <v>5.23</v>
      </c>
      <c r="H114" s="64">
        <f t="shared" si="35"/>
        <v>64.3</v>
      </c>
      <c r="I114" s="208" t="s">
        <v>238</v>
      </c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5">
        <f t="shared" si="36"/>
        <v>0</v>
      </c>
      <c r="U114" s="65">
        <f t="shared" si="37"/>
        <v>10</v>
      </c>
      <c r="V114" s="65">
        <f t="shared" si="38"/>
        <v>64.3</v>
      </c>
      <c r="W114" s="42">
        <f t="shared" si="39"/>
        <v>0</v>
      </c>
      <c r="X114" s="42">
        <f t="shared" si="40"/>
        <v>0</v>
      </c>
      <c r="Y114" s="43">
        <f t="shared" si="41"/>
        <v>0</v>
      </c>
      <c r="Z114" s="96">
        <f>(J114+K114+L114+M114+N114)*E114</f>
        <v>0</v>
      </c>
      <c r="AA114" s="96">
        <f>S114*G114</f>
        <v>0</v>
      </c>
      <c r="AB114" s="96">
        <f>(J114+K114+L114+M114+N114+O114)*E114</f>
        <v>0</v>
      </c>
      <c r="AC114" s="5"/>
    </row>
    <row r="115" spans="1:29" s="87" customFormat="1">
      <c r="A115" s="37" t="s">
        <v>239</v>
      </c>
      <c r="B115" s="38" t="s">
        <v>240</v>
      </c>
      <c r="C115" s="61" t="s">
        <v>70</v>
      </c>
      <c r="D115" s="62">
        <v>3</v>
      </c>
      <c r="E115" s="63">
        <v>17.63</v>
      </c>
      <c r="F115" s="39">
        <f>U115</f>
        <v>3</v>
      </c>
      <c r="G115" s="63">
        <v>14.33</v>
      </c>
      <c r="H115" s="64">
        <f t="shared" si="35"/>
        <v>52.89</v>
      </c>
      <c r="I115" s="208" t="s">
        <v>241</v>
      </c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5">
        <f t="shared" si="36"/>
        <v>0</v>
      </c>
      <c r="U115" s="65">
        <f t="shared" si="37"/>
        <v>3</v>
      </c>
      <c r="V115" s="65">
        <f t="shared" si="38"/>
        <v>52.89</v>
      </c>
      <c r="W115" s="42">
        <f t="shared" si="39"/>
        <v>0</v>
      </c>
      <c r="X115" s="42">
        <f t="shared" si="40"/>
        <v>0</v>
      </c>
      <c r="Y115" s="43">
        <f t="shared" si="41"/>
        <v>0</v>
      </c>
      <c r="Z115" s="96">
        <f>(J115+K115+L115+M115+N115)*E115</f>
        <v>0</v>
      </c>
      <c r="AA115" s="96">
        <f>S115*G115</f>
        <v>0</v>
      </c>
      <c r="AB115" s="96">
        <f>(J115+K115+L115+M115+N115+O115)*E115</f>
        <v>0</v>
      </c>
      <c r="AC115" s="5"/>
    </row>
    <row r="116" spans="1:29">
      <c r="A116" s="192" t="s">
        <v>242</v>
      </c>
      <c r="B116" s="193" t="s">
        <v>243</v>
      </c>
      <c r="C116" s="192" t="s">
        <v>70</v>
      </c>
      <c r="D116" s="39">
        <v>2</v>
      </c>
      <c r="E116" s="40">
        <v>39.96</v>
      </c>
      <c r="F116" s="205"/>
      <c r="G116" s="40">
        <v>32.49</v>
      </c>
      <c r="H116" s="41">
        <f t="shared" si="35"/>
        <v>79.92</v>
      </c>
      <c r="I116" s="206" t="s">
        <v>85</v>
      </c>
      <c r="J116" s="62">
        <v>2</v>
      </c>
      <c r="K116" s="62"/>
      <c r="L116" s="62"/>
      <c r="M116" s="62"/>
      <c r="N116" s="62"/>
      <c r="O116" s="62"/>
      <c r="P116" s="62"/>
      <c r="Q116" s="62"/>
      <c r="R116" s="62"/>
      <c r="S116" s="62"/>
      <c r="T116" s="65">
        <f t="shared" si="36"/>
        <v>2</v>
      </c>
      <c r="U116" s="65">
        <f t="shared" si="37"/>
        <v>0</v>
      </c>
      <c r="V116" s="65">
        <f t="shared" si="38"/>
        <v>0</v>
      </c>
      <c r="W116" s="42">
        <f t="shared" si="39"/>
        <v>1</v>
      </c>
      <c r="X116" s="42">
        <f t="shared" si="40"/>
        <v>0</v>
      </c>
      <c r="Y116" s="43">
        <f t="shared" si="41"/>
        <v>1</v>
      </c>
      <c r="Z116" s="96">
        <f>(J116+K116+L116+M116+N116)*E116</f>
        <v>79.92</v>
      </c>
      <c r="AA116" s="96">
        <f t="shared" ref="AA116:AA136" si="43">Q116*E116</f>
        <v>0</v>
      </c>
      <c r="AB116" s="96">
        <f>(J116+K116+L116+M116+N116+O116)*E116</f>
        <v>79.92</v>
      </c>
      <c r="AC116" s="5"/>
    </row>
    <row r="117" spans="1:29" s="87" customFormat="1">
      <c r="A117" s="37" t="s">
        <v>244</v>
      </c>
      <c r="B117" s="38" t="s">
        <v>245</v>
      </c>
      <c r="C117" s="61" t="s">
        <v>70</v>
      </c>
      <c r="D117" s="62">
        <v>0</v>
      </c>
      <c r="E117" s="63">
        <v>5.2</v>
      </c>
      <c r="F117" s="63"/>
      <c r="G117" s="63">
        <v>4.2300000000000004</v>
      </c>
      <c r="H117" s="64">
        <f t="shared" si="35"/>
        <v>0</v>
      </c>
      <c r="I117" s="155">
        <v>89362</v>
      </c>
      <c r="J117" s="65">
        <v>0</v>
      </c>
      <c r="K117" s="65"/>
      <c r="L117" s="65"/>
      <c r="M117" s="65"/>
      <c r="N117" s="65"/>
      <c r="O117" s="65"/>
      <c r="P117" s="65"/>
      <c r="Q117" s="65"/>
      <c r="R117" s="65"/>
      <c r="S117" s="65"/>
      <c r="T117" s="65">
        <f t="shared" si="36"/>
        <v>0</v>
      </c>
      <c r="U117" s="65">
        <f t="shared" si="37"/>
        <v>0</v>
      </c>
      <c r="V117" s="65">
        <f t="shared" si="38"/>
        <v>0</v>
      </c>
      <c r="W117" s="42">
        <v>0</v>
      </c>
      <c r="X117" s="42">
        <f t="shared" si="40"/>
        <v>0</v>
      </c>
      <c r="Y117" s="43">
        <f t="shared" si="41"/>
        <v>0</v>
      </c>
      <c r="Z117" s="96">
        <f t="shared" ref="Z117:Z124" si="44">(J117+K117+L117+M117)*E117</f>
        <v>0</v>
      </c>
      <c r="AA117" s="96">
        <f t="shared" si="43"/>
        <v>0</v>
      </c>
      <c r="AB117" s="96">
        <f t="shared" ref="AB117:AB124" si="45">(J117+K117+L117+M117+N117)*E117</f>
        <v>0</v>
      </c>
      <c r="AC117" s="5"/>
    </row>
    <row r="118" spans="1:29" s="87" customFormat="1">
      <c r="A118" s="37" t="s">
        <v>246</v>
      </c>
      <c r="B118" s="38" t="s">
        <v>247</v>
      </c>
      <c r="C118" s="61" t="s">
        <v>70</v>
      </c>
      <c r="D118" s="62">
        <v>0</v>
      </c>
      <c r="E118" s="63">
        <v>7.22</v>
      </c>
      <c r="F118" s="63"/>
      <c r="G118" s="63">
        <v>5.87</v>
      </c>
      <c r="H118" s="64">
        <f t="shared" si="35"/>
        <v>0</v>
      </c>
      <c r="I118" s="155">
        <v>89367</v>
      </c>
      <c r="J118" s="65">
        <v>0</v>
      </c>
      <c r="K118" s="65"/>
      <c r="L118" s="65"/>
      <c r="M118" s="65"/>
      <c r="N118" s="65"/>
      <c r="O118" s="65"/>
      <c r="P118" s="65"/>
      <c r="Q118" s="65"/>
      <c r="R118" s="65"/>
      <c r="S118" s="65"/>
      <c r="T118" s="65">
        <f t="shared" si="36"/>
        <v>0</v>
      </c>
      <c r="U118" s="65">
        <f t="shared" si="37"/>
        <v>0</v>
      </c>
      <c r="V118" s="65">
        <f t="shared" si="38"/>
        <v>0</v>
      </c>
      <c r="W118" s="42">
        <v>0</v>
      </c>
      <c r="X118" s="42">
        <f t="shared" si="40"/>
        <v>0</v>
      </c>
      <c r="Y118" s="43">
        <f t="shared" si="41"/>
        <v>0</v>
      </c>
      <c r="Z118" s="96">
        <f t="shared" si="44"/>
        <v>0</v>
      </c>
      <c r="AA118" s="96">
        <f t="shared" si="43"/>
        <v>0</v>
      </c>
      <c r="AB118" s="96">
        <f t="shared" si="45"/>
        <v>0</v>
      </c>
      <c r="AC118" s="5"/>
    </row>
    <row r="119" spans="1:29" s="87" customFormat="1">
      <c r="A119" s="37" t="s">
        <v>248</v>
      </c>
      <c r="B119" s="38" t="s">
        <v>249</v>
      </c>
      <c r="C119" s="61" t="s">
        <v>70</v>
      </c>
      <c r="D119" s="62">
        <v>0</v>
      </c>
      <c r="E119" s="63">
        <v>8.25</v>
      </c>
      <c r="F119" s="63"/>
      <c r="G119" s="63">
        <v>6.71</v>
      </c>
      <c r="H119" s="64">
        <f t="shared" si="35"/>
        <v>0</v>
      </c>
      <c r="I119" s="155">
        <v>89501</v>
      </c>
      <c r="J119" s="65">
        <v>0</v>
      </c>
      <c r="K119" s="65"/>
      <c r="L119" s="65"/>
      <c r="M119" s="65"/>
      <c r="N119" s="65"/>
      <c r="O119" s="65"/>
      <c r="P119" s="65"/>
      <c r="Q119" s="65"/>
      <c r="R119" s="65"/>
      <c r="S119" s="65"/>
      <c r="T119" s="65">
        <f t="shared" si="36"/>
        <v>0</v>
      </c>
      <c r="U119" s="65">
        <f t="shared" si="37"/>
        <v>0</v>
      </c>
      <c r="V119" s="65">
        <f t="shared" si="38"/>
        <v>0</v>
      </c>
      <c r="W119" s="42">
        <v>0</v>
      </c>
      <c r="X119" s="42">
        <f t="shared" si="40"/>
        <v>0</v>
      </c>
      <c r="Y119" s="43">
        <f t="shared" si="41"/>
        <v>0</v>
      </c>
      <c r="Z119" s="96">
        <f t="shared" si="44"/>
        <v>0</v>
      </c>
      <c r="AA119" s="96">
        <f t="shared" si="43"/>
        <v>0</v>
      </c>
      <c r="AB119" s="96">
        <f t="shared" si="45"/>
        <v>0</v>
      </c>
      <c r="AC119" s="5"/>
    </row>
    <row r="120" spans="1:29" s="87" customFormat="1">
      <c r="A120" s="37" t="s">
        <v>250</v>
      </c>
      <c r="B120" s="38" t="s">
        <v>251</v>
      </c>
      <c r="C120" s="61" t="s">
        <v>70</v>
      </c>
      <c r="D120" s="62">
        <v>0</v>
      </c>
      <c r="E120" s="63">
        <v>11.21</v>
      </c>
      <c r="F120" s="63"/>
      <c r="G120" s="63">
        <v>9.11</v>
      </c>
      <c r="H120" s="64">
        <f t="shared" si="35"/>
        <v>0</v>
      </c>
      <c r="I120" s="155" t="s">
        <v>252</v>
      </c>
      <c r="J120" s="65">
        <v>0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>
        <f t="shared" si="36"/>
        <v>0</v>
      </c>
      <c r="U120" s="65">
        <f t="shared" si="37"/>
        <v>0</v>
      </c>
      <c r="V120" s="65">
        <f t="shared" si="38"/>
        <v>0</v>
      </c>
      <c r="W120" s="42">
        <v>0</v>
      </c>
      <c r="X120" s="42">
        <f t="shared" si="40"/>
        <v>0</v>
      </c>
      <c r="Y120" s="43">
        <f t="shared" si="41"/>
        <v>0</v>
      </c>
      <c r="Z120" s="96">
        <f t="shared" si="44"/>
        <v>0</v>
      </c>
      <c r="AA120" s="96">
        <f t="shared" si="43"/>
        <v>0</v>
      </c>
      <c r="AB120" s="96">
        <f t="shared" si="45"/>
        <v>0</v>
      </c>
      <c r="AC120" s="5"/>
    </row>
    <row r="121" spans="1:29" s="87" customFormat="1">
      <c r="A121" s="37" t="s">
        <v>253</v>
      </c>
      <c r="B121" s="38" t="s">
        <v>254</v>
      </c>
      <c r="C121" s="61" t="s">
        <v>70</v>
      </c>
      <c r="D121" s="62">
        <v>0</v>
      </c>
      <c r="E121" s="63">
        <v>8.1999999999999993</v>
      </c>
      <c r="F121" s="63"/>
      <c r="G121" s="63">
        <v>6.67</v>
      </c>
      <c r="H121" s="64">
        <f t="shared" si="35"/>
        <v>0</v>
      </c>
      <c r="I121" s="155" t="s">
        <v>255</v>
      </c>
      <c r="J121" s="65">
        <v>0</v>
      </c>
      <c r="K121" s="65"/>
      <c r="L121" s="65"/>
      <c r="M121" s="65"/>
      <c r="N121" s="65"/>
      <c r="O121" s="65"/>
      <c r="P121" s="65"/>
      <c r="Q121" s="65"/>
      <c r="R121" s="65"/>
      <c r="S121" s="65"/>
      <c r="T121" s="65">
        <f t="shared" si="36"/>
        <v>0</v>
      </c>
      <c r="U121" s="65">
        <f t="shared" si="37"/>
        <v>0</v>
      </c>
      <c r="V121" s="65">
        <f t="shared" si="38"/>
        <v>0</v>
      </c>
      <c r="W121" s="42">
        <v>0</v>
      </c>
      <c r="X121" s="42">
        <f t="shared" si="40"/>
        <v>0</v>
      </c>
      <c r="Y121" s="43">
        <f t="shared" si="41"/>
        <v>0</v>
      </c>
      <c r="Z121" s="96">
        <f t="shared" si="44"/>
        <v>0</v>
      </c>
      <c r="AA121" s="96">
        <f t="shared" si="43"/>
        <v>0</v>
      </c>
      <c r="AB121" s="96">
        <f t="shared" si="45"/>
        <v>0</v>
      </c>
      <c r="AC121" s="5"/>
    </row>
    <row r="122" spans="1:29" s="87" customFormat="1" ht="25.5">
      <c r="A122" s="37" t="s">
        <v>256</v>
      </c>
      <c r="B122" s="38" t="s">
        <v>257</v>
      </c>
      <c r="C122" s="61" t="s">
        <v>70</v>
      </c>
      <c r="D122" s="62">
        <v>0</v>
      </c>
      <c r="E122" s="63">
        <v>12.47</v>
      </c>
      <c r="F122" s="63"/>
      <c r="G122" s="63">
        <v>10.14</v>
      </c>
      <c r="H122" s="64">
        <f t="shared" si="35"/>
        <v>0</v>
      </c>
      <c r="I122" s="155" t="s">
        <v>258</v>
      </c>
      <c r="J122" s="65">
        <v>0</v>
      </c>
      <c r="K122" s="65"/>
      <c r="L122" s="65"/>
      <c r="M122" s="65"/>
      <c r="N122" s="65"/>
      <c r="O122" s="65"/>
      <c r="P122" s="65"/>
      <c r="Q122" s="65"/>
      <c r="R122" s="65"/>
      <c r="S122" s="65"/>
      <c r="T122" s="65">
        <f t="shared" si="36"/>
        <v>0</v>
      </c>
      <c r="U122" s="65">
        <f t="shared" si="37"/>
        <v>0</v>
      </c>
      <c r="V122" s="65">
        <f t="shared" si="38"/>
        <v>0</v>
      </c>
      <c r="W122" s="42">
        <v>0</v>
      </c>
      <c r="X122" s="42">
        <f t="shared" si="40"/>
        <v>0</v>
      </c>
      <c r="Y122" s="43">
        <f t="shared" si="41"/>
        <v>0</v>
      </c>
      <c r="Z122" s="96">
        <f t="shared" si="44"/>
        <v>0</v>
      </c>
      <c r="AA122" s="96">
        <f t="shared" si="43"/>
        <v>0</v>
      </c>
      <c r="AB122" s="96">
        <f t="shared" si="45"/>
        <v>0</v>
      </c>
      <c r="AC122" s="5"/>
    </row>
    <row r="123" spans="1:29" s="87" customFormat="1">
      <c r="A123" s="37" t="s">
        <v>259</v>
      </c>
      <c r="B123" s="38" t="s">
        <v>260</v>
      </c>
      <c r="C123" s="61" t="s">
        <v>70</v>
      </c>
      <c r="D123" s="62">
        <v>0</v>
      </c>
      <c r="E123" s="63">
        <v>8.1999999999999993</v>
      </c>
      <c r="F123" s="63"/>
      <c r="G123" s="63">
        <v>6.67</v>
      </c>
      <c r="H123" s="64">
        <f t="shared" si="35"/>
        <v>0</v>
      </c>
      <c r="I123" s="155" t="s">
        <v>261</v>
      </c>
      <c r="J123" s="65">
        <v>0</v>
      </c>
      <c r="K123" s="65"/>
      <c r="L123" s="65"/>
      <c r="M123" s="65"/>
      <c r="N123" s="65"/>
      <c r="O123" s="65"/>
      <c r="P123" s="65"/>
      <c r="Q123" s="65"/>
      <c r="R123" s="65"/>
      <c r="S123" s="65"/>
      <c r="T123" s="65">
        <f t="shared" si="36"/>
        <v>0</v>
      </c>
      <c r="U123" s="65">
        <f t="shared" si="37"/>
        <v>0</v>
      </c>
      <c r="V123" s="65">
        <f t="shared" si="38"/>
        <v>0</v>
      </c>
      <c r="W123" s="42">
        <v>0</v>
      </c>
      <c r="X123" s="42">
        <f t="shared" si="40"/>
        <v>0</v>
      </c>
      <c r="Y123" s="43">
        <f t="shared" si="41"/>
        <v>0</v>
      </c>
      <c r="Z123" s="96">
        <f t="shared" si="44"/>
        <v>0</v>
      </c>
      <c r="AA123" s="96">
        <f t="shared" si="43"/>
        <v>0</v>
      </c>
      <c r="AB123" s="96">
        <f t="shared" si="45"/>
        <v>0</v>
      </c>
      <c r="AC123" s="5"/>
    </row>
    <row r="124" spans="1:29" s="87" customFormat="1">
      <c r="A124" s="37" t="s">
        <v>262</v>
      </c>
      <c r="B124" s="38" t="s">
        <v>263</v>
      </c>
      <c r="C124" s="61" t="s">
        <v>70</v>
      </c>
      <c r="D124" s="62">
        <v>0</v>
      </c>
      <c r="E124" s="63">
        <v>5.2</v>
      </c>
      <c r="F124" s="63"/>
      <c r="G124" s="63">
        <v>4.2300000000000004</v>
      </c>
      <c r="H124" s="64">
        <f t="shared" si="35"/>
        <v>0</v>
      </c>
      <c r="I124" s="155">
        <v>89562</v>
      </c>
      <c r="J124" s="65">
        <v>0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>
        <f t="shared" si="36"/>
        <v>0</v>
      </c>
      <c r="U124" s="65">
        <f t="shared" si="37"/>
        <v>0</v>
      </c>
      <c r="V124" s="65">
        <f t="shared" si="38"/>
        <v>0</v>
      </c>
      <c r="W124" s="42">
        <v>0</v>
      </c>
      <c r="X124" s="42">
        <f t="shared" si="40"/>
        <v>0</v>
      </c>
      <c r="Y124" s="43">
        <f t="shared" si="41"/>
        <v>0</v>
      </c>
      <c r="Z124" s="96">
        <f t="shared" si="44"/>
        <v>0</v>
      </c>
      <c r="AA124" s="96">
        <f t="shared" si="43"/>
        <v>0</v>
      </c>
      <c r="AB124" s="96">
        <f t="shared" si="45"/>
        <v>0</v>
      </c>
      <c r="AC124" s="5"/>
    </row>
    <row r="125" spans="1:29">
      <c r="A125" s="37" t="s">
        <v>264</v>
      </c>
      <c r="B125" s="38" t="s">
        <v>265</v>
      </c>
      <c r="C125" s="37" t="s">
        <v>70</v>
      </c>
      <c r="D125" s="39">
        <v>2</v>
      </c>
      <c r="E125" s="40">
        <v>4.78</v>
      </c>
      <c r="F125" s="40"/>
      <c r="G125" s="40">
        <v>3.89</v>
      </c>
      <c r="H125" s="41">
        <f t="shared" si="35"/>
        <v>9.56</v>
      </c>
      <c r="I125" s="154" t="s">
        <v>85</v>
      </c>
      <c r="J125" s="62">
        <v>2</v>
      </c>
      <c r="K125" s="62"/>
      <c r="L125" s="62"/>
      <c r="M125" s="62"/>
      <c r="N125" s="62"/>
      <c r="O125" s="62"/>
      <c r="P125" s="62"/>
      <c r="Q125" s="62"/>
      <c r="R125" s="62"/>
      <c r="S125" s="62"/>
      <c r="T125" s="65">
        <f t="shared" si="36"/>
        <v>2</v>
      </c>
      <c r="U125" s="65">
        <f t="shared" si="37"/>
        <v>0</v>
      </c>
      <c r="V125" s="65">
        <f t="shared" si="38"/>
        <v>0</v>
      </c>
      <c r="W125" s="42">
        <f t="shared" si="39"/>
        <v>1</v>
      </c>
      <c r="X125" s="42">
        <f t="shared" si="40"/>
        <v>0</v>
      </c>
      <c r="Y125" s="43">
        <f t="shared" si="41"/>
        <v>1</v>
      </c>
      <c r="Z125" s="96">
        <f t="shared" ref="Z125:Z131" si="46">(J125+K125+L125+M125+N125)*E125</f>
        <v>9.56</v>
      </c>
      <c r="AA125" s="96">
        <f t="shared" si="43"/>
        <v>0</v>
      </c>
      <c r="AB125" s="96">
        <f t="shared" ref="AB125:AB131" si="47">(J125+K125+L125+M125+N125+O125)*E125</f>
        <v>9.56</v>
      </c>
      <c r="AC125" s="5"/>
    </row>
    <row r="126" spans="1:29">
      <c r="A126" s="37" t="s">
        <v>266</v>
      </c>
      <c r="B126" s="38" t="s">
        <v>267</v>
      </c>
      <c r="C126" s="37" t="s">
        <v>70</v>
      </c>
      <c r="D126" s="39">
        <v>4</v>
      </c>
      <c r="E126" s="40">
        <v>7.24</v>
      </c>
      <c r="F126" s="40"/>
      <c r="G126" s="40">
        <v>5.89</v>
      </c>
      <c r="H126" s="41">
        <f t="shared" si="35"/>
        <v>28.96</v>
      </c>
      <c r="I126" s="154" t="s">
        <v>85</v>
      </c>
      <c r="J126" s="62">
        <v>4</v>
      </c>
      <c r="K126" s="62"/>
      <c r="L126" s="62"/>
      <c r="M126" s="62"/>
      <c r="N126" s="62"/>
      <c r="O126" s="62"/>
      <c r="P126" s="62"/>
      <c r="Q126" s="62"/>
      <c r="R126" s="62"/>
      <c r="S126" s="62"/>
      <c r="T126" s="65">
        <f t="shared" si="36"/>
        <v>4</v>
      </c>
      <c r="U126" s="65">
        <f t="shared" si="37"/>
        <v>0</v>
      </c>
      <c r="V126" s="65">
        <f t="shared" si="38"/>
        <v>0</v>
      </c>
      <c r="W126" s="42">
        <f t="shared" si="39"/>
        <v>1</v>
      </c>
      <c r="X126" s="42">
        <f t="shared" si="40"/>
        <v>0</v>
      </c>
      <c r="Y126" s="43">
        <f t="shared" si="41"/>
        <v>1</v>
      </c>
      <c r="Z126" s="96">
        <f t="shared" si="46"/>
        <v>28.96</v>
      </c>
      <c r="AA126" s="96">
        <f t="shared" si="43"/>
        <v>0</v>
      </c>
      <c r="AB126" s="96">
        <f t="shared" si="47"/>
        <v>28.96</v>
      </c>
      <c r="AC126" s="5"/>
    </row>
    <row r="127" spans="1:29">
      <c r="A127" s="37" t="s">
        <v>268</v>
      </c>
      <c r="B127" s="38" t="s">
        <v>269</v>
      </c>
      <c r="C127" s="37" t="s">
        <v>70</v>
      </c>
      <c r="D127" s="39">
        <v>2</v>
      </c>
      <c r="E127" s="40">
        <v>87.34</v>
      </c>
      <c r="F127" s="40"/>
      <c r="G127" s="40">
        <v>71.010000000000005</v>
      </c>
      <c r="H127" s="41">
        <f t="shared" si="35"/>
        <v>174.68</v>
      </c>
      <c r="I127" s="154" t="s">
        <v>85</v>
      </c>
      <c r="J127" s="62">
        <v>2</v>
      </c>
      <c r="K127" s="62"/>
      <c r="L127" s="62"/>
      <c r="M127" s="62"/>
      <c r="N127" s="62"/>
      <c r="O127" s="62"/>
      <c r="P127" s="62"/>
      <c r="Q127" s="62"/>
      <c r="R127" s="62"/>
      <c r="S127" s="62"/>
      <c r="T127" s="65">
        <f t="shared" si="36"/>
        <v>2</v>
      </c>
      <c r="U127" s="65">
        <f t="shared" si="37"/>
        <v>0</v>
      </c>
      <c r="V127" s="65">
        <f t="shared" si="38"/>
        <v>0</v>
      </c>
      <c r="W127" s="42">
        <f t="shared" si="39"/>
        <v>1</v>
      </c>
      <c r="X127" s="42">
        <f t="shared" si="40"/>
        <v>0</v>
      </c>
      <c r="Y127" s="43">
        <f t="shared" si="41"/>
        <v>1</v>
      </c>
      <c r="Z127" s="96">
        <f t="shared" si="46"/>
        <v>174.68</v>
      </c>
      <c r="AA127" s="96">
        <f t="shared" si="43"/>
        <v>0</v>
      </c>
      <c r="AB127" s="96">
        <f t="shared" si="47"/>
        <v>174.68</v>
      </c>
      <c r="AC127" s="5"/>
    </row>
    <row r="128" spans="1:29">
      <c r="A128" s="37" t="s">
        <v>270</v>
      </c>
      <c r="B128" s="38" t="s">
        <v>271</v>
      </c>
      <c r="C128" s="37" t="s">
        <v>70</v>
      </c>
      <c r="D128" s="39">
        <v>2</v>
      </c>
      <c r="E128" s="40">
        <v>128.97999999999999</v>
      </c>
      <c r="F128" s="40"/>
      <c r="G128" s="40">
        <v>104.86</v>
      </c>
      <c r="H128" s="41">
        <f t="shared" si="35"/>
        <v>257.95999999999998</v>
      </c>
      <c r="I128" s="154" t="s">
        <v>85</v>
      </c>
      <c r="J128" s="62">
        <v>2</v>
      </c>
      <c r="K128" s="62"/>
      <c r="L128" s="62"/>
      <c r="M128" s="62"/>
      <c r="N128" s="62"/>
      <c r="O128" s="62"/>
      <c r="P128" s="62"/>
      <c r="Q128" s="62"/>
      <c r="R128" s="62"/>
      <c r="S128" s="62"/>
      <c r="T128" s="65">
        <f t="shared" si="36"/>
        <v>2</v>
      </c>
      <c r="U128" s="65">
        <f t="shared" si="37"/>
        <v>0</v>
      </c>
      <c r="V128" s="65">
        <f t="shared" si="38"/>
        <v>0</v>
      </c>
      <c r="W128" s="42">
        <f t="shared" si="39"/>
        <v>1</v>
      </c>
      <c r="X128" s="42">
        <f t="shared" si="40"/>
        <v>0</v>
      </c>
      <c r="Y128" s="43">
        <f t="shared" si="41"/>
        <v>1</v>
      </c>
      <c r="Z128" s="96">
        <f t="shared" si="46"/>
        <v>257.95999999999998</v>
      </c>
      <c r="AA128" s="96">
        <f t="shared" si="43"/>
        <v>0</v>
      </c>
      <c r="AB128" s="96">
        <f t="shared" si="47"/>
        <v>257.95999999999998</v>
      </c>
      <c r="AC128" s="5"/>
    </row>
    <row r="129" spans="1:29">
      <c r="A129" s="37" t="s">
        <v>272</v>
      </c>
      <c r="B129" s="38" t="s">
        <v>273</v>
      </c>
      <c r="C129" s="37" t="s">
        <v>70</v>
      </c>
      <c r="D129" s="39">
        <v>2</v>
      </c>
      <c r="E129" s="40">
        <v>114.25</v>
      </c>
      <c r="F129" s="40"/>
      <c r="G129" s="40">
        <v>92.89</v>
      </c>
      <c r="H129" s="41">
        <f t="shared" si="35"/>
        <v>228.5</v>
      </c>
      <c r="I129" s="154" t="s">
        <v>85</v>
      </c>
      <c r="J129" s="62">
        <v>2</v>
      </c>
      <c r="K129" s="62"/>
      <c r="L129" s="62"/>
      <c r="M129" s="62"/>
      <c r="N129" s="62"/>
      <c r="O129" s="62"/>
      <c r="P129" s="62"/>
      <c r="Q129" s="62"/>
      <c r="R129" s="62"/>
      <c r="S129" s="62"/>
      <c r="T129" s="65">
        <f t="shared" si="36"/>
        <v>2</v>
      </c>
      <c r="U129" s="65">
        <f t="shared" si="37"/>
        <v>0</v>
      </c>
      <c r="V129" s="65">
        <f t="shared" si="38"/>
        <v>0</v>
      </c>
      <c r="W129" s="42">
        <f t="shared" si="39"/>
        <v>1</v>
      </c>
      <c r="X129" s="42">
        <f t="shared" si="40"/>
        <v>0</v>
      </c>
      <c r="Y129" s="43">
        <f t="shared" si="41"/>
        <v>1</v>
      </c>
      <c r="Z129" s="96">
        <f t="shared" si="46"/>
        <v>228.5</v>
      </c>
      <c r="AA129" s="96">
        <f t="shared" si="43"/>
        <v>0</v>
      </c>
      <c r="AB129" s="96">
        <f t="shared" si="47"/>
        <v>228.5</v>
      </c>
      <c r="AC129" s="5"/>
    </row>
    <row r="130" spans="1:29">
      <c r="A130" s="37" t="s">
        <v>274</v>
      </c>
      <c r="B130" s="38" t="s">
        <v>275</v>
      </c>
      <c r="C130" s="37" t="s">
        <v>70</v>
      </c>
      <c r="D130" s="39">
        <v>2</v>
      </c>
      <c r="E130" s="40">
        <v>74.77</v>
      </c>
      <c r="F130" s="40"/>
      <c r="G130" s="40">
        <v>60.79</v>
      </c>
      <c r="H130" s="41">
        <f t="shared" si="35"/>
        <v>149.54</v>
      </c>
      <c r="I130" s="154" t="s">
        <v>85</v>
      </c>
      <c r="J130" s="62">
        <v>2</v>
      </c>
      <c r="K130" s="62"/>
      <c r="L130" s="62"/>
      <c r="M130" s="62"/>
      <c r="N130" s="62"/>
      <c r="O130" s="62"/>
      <c r="P130" s="62"/>
      <c r="Q130" s="62"/>
      <c r="R130" s="62"/>
      <c r="S130" s="62"/>
      <c r="T130" s="65">
        <f t="shared" si="36"/>
        <v>2</v>
      </c>
      <c r="U130" s="65">
        <f t="shared" si="37"/>
        <v>0</v>
      </c>
      <c r="V130" s="65">
        <f t="shared" si="38"/>
        <v>0</v>
      </c>
      <c r="W130" s="42">
        <f t="shared" si="39"/>
        <v>1</v>
      </c>
      <c r="X130" s="42">
        <f t="shared" si="40"/>
        <v>0</v>
      </c>
      <c r="Y130" s="43">
        <f t="shared" si="41"/>
        <v>1</v>
      </c>
      <c r="Z130" s="96">
        <f t="shared" si="46"/>
        <v>149.54</v>
      </c>
      <c r="AA130" s="96">
        <f t="shared" si="43"/>
        <v>0</v>
      </c>
      <c r="AB130" s="96">
        <f t="shared" si="47"/>
        <v>149.54</v>
      </c>
      <c r="AC130" s="5"/>
    </row>
    <row r="131" spans="1:29">
      <c r="A131" s="37" t="s">
        <v>276</v>
      </c>
      <c r="B131" s="38" t="s">
        <v>277</v>
      </c>
      <c r="C131" s="37" t="s">
        <v>70</v>
      </c>
      <c r="D131" s="39">
        <v>8</v>
      </c>
      <c r="E131" s="40">
        <v>71.599999999999994</v>
      </c>
      <c r="F131" s="40"/>
      <c r="G131" s="40">
        <v>58.21</v>
      </c>
      <c r="H131" s="41">
        <f t="shared" si="35"/>
        <v>572.79999999999995</v>
      </c>
      <c r="I131" s="154" t="s">
        <v>85</v>
      </c>
      <c r="J131" s="62">
        <v>8</v>
      </c>
      <c r="K131" s="62"/>
      <c r="L131" s="62"/>
      <c r="M131" s="62"/>
      <c r="N131" s="62"/>
      <c r="O131" s="62"/>
      <c r="P131" s="62"/>
      <c r="Q131" s="62"/>
      <c r="R131" s="62"/>
      <c r="S131" s="62"/>
      <c r="T131" s="65">
        <f t="shared" si="36"/>
        <v>8</v>
      </c>
      <c r="U131" s="65">
        <f t="shared" si="37"/>
        <v>0</v>
      </c>
      <c r="V131" s="65">
        <f t="shared" si="38"/>
        <v>0</v>
      </c>
      <c r="W131" s="42">
        <f t="shared" si="39"/>
        <v>1</v>
      </c>
      <c r="X131" s="42">
        <f t="shared" si="40"/>
        <v>0</v>
      </c>
      <c r="Y131" s="43">
        <f t="shared" si="41"/>
        <v>1</v>
      </c>
      <c r="Z131" s="96">
        <f t="shared" si="46"/>
        <v>572.79999999999995</v>
      </c>
      <c r="AA131" s="96">
        <f t="shared" si="43"/>
        <v>0</v>
      </c>
      <c r="AB131" s="96">
        <f t="shared" si="47"/>
        <v>572.79999999999995</v>
      </c>
      <c r="AC131" s="5"/>
    </row>
    <row r="132" spans="1:29" s="87" customFormat="1">
      <c r="A132" s="37" t="s">
        <v>278</v>
      </c>
      <c r="B132" s="38" t="s">
        <v>279</v>
      </c>
      <c r="C132" s="61" t="s">
        <v>70</v>
      </c>
      <c r="D132" s="62">
        <v>0</v>
      </c>
      <c r="E132" s="63">
        <v>8.15</v>
      </c>
      <c r="F132" s="63"/>
      <c r="G132" s="63">
        <v>6.63</v>
      </c>
      <c r="H132" s="64">
        <f t="shared" si="35"/>
        <v>0</v>
      </c>
      <c r="I132" s="155">
        <v>89395</v>
      </c>
      <c r="J132" s="65">
        <v>0</v>
      </c>
      <c r="K132" s="65"/>
      <c r="L132" s="65"/>
      <c r="M132" s="65"/>
      <c r="N132" s="65"/>
      <c r="O132" s="65"/>
      <c r="P132" s="65"/>
      <c r="Q132" s="65"/>
      <c r="R132" s="65"/>
      <c r="S132" s="65"/>
      <c r="T132" s="65">
        <f t="shared" si="36"/>
        <v>0</v>
      </c>
      <c r="U132" s="65">
        <f t="shared" si="37"/>
        <v>0</v>
      </c>
      <c r="V132" s="65">
        <f t="shared" si="38"/>
        <v>0</v>
      </c>
      <c r="W132" s="42">
        <v>0</v>
      </c>
      <c r="X132" s="42">
        <f t="shared" si="40"/>
        <v>0</v>
      </c>
      <c r="Y132" s="43">
        <f t="shared" si="41"/>
        <v>0</v>
      </c>
      <c r="Z132" s="96">
        <f>(J132+K132+L132+M132)*E132</f>
        <v>0</v>
      </c>
      <c r="AA132" s="96">
        <f t="shared" si="43"/>
        <v>0</v>
      </c>
      <c r="AB132" s="96">
        <f>(J132+K132+L132+M132+N132)*E132</f>
        <v>0</v>
      </c>
      <c r="AC132" s="5"/>
    </row>
    <row r="133" spans="1:29" s="87" customFormat="1">
      <c r="A133" s="37" t="s">
        <v>280</v>
      </c>
      <c r="B133" s="38" t="s">
        <v>281</v>
      </c>
      <c r="C133" s="61" t="s">
        <v>70</v>
      </c>
      <c r="D133" s="62">
        <v>0</v>
      </c>
      <c r="E133" s="63">
        <v>17.760000000000002</v>
      </c>
      <c r="F133" s="63"/>
      <c r="G133" s="63">
        <v>14.44</v>
      </c>
      <c r="H133" s="64">
        <f t="shared" si="35"/>
        <v>0</v>
      </c>
      <c r="I133" s="155" t="s">
        <v>282</v>
      </c>
      <c r="J133" s="65">
        <v>0</v>
      </c>
      <c r="K133" s="65"/>
      <c r="L133" s="65"/>
      <c r="M133" s="65"/>
      <c r="N133" s="65"/>
      <c r="O133" s="65"/>
      <c r="P133" s="65"/>
      <c r="Q133" s="65"/>
      <c r="R133" s="65"/>
      <c r="S133" s="65"/>
      <c r="T133" s="65">
        <f t="shared" si="36"/>
        <v>0</v>
      </c>
      <c r="U133" s="65">
        <f t="shared" si="37"/>
        <v>0</v>
      </c>
      <c r="V133" s="65">
        <f t="shared" si="38"/>
        <v>0</v>
      </c>
      <c r="W133" s="42">
        <v>0</v>
      </c>
      <c r="X133" s="42">
        <f t="shared" si="40"/>
        <v>0</v>
      </c>
      <c r="Y133" s="43">
        <f t="shared" si="41"/>
        <v>0</v>
      </c>
      <c r="Z133" s="96">
        <f>(J133+K133+L133+M133)*E133</f>
        <v>0</v>
      </c>
      <c r="AA133" s="96">
        <f t="shared" si="43"/>
        <v>0</v>
      </c>
      <c r="AB133" s="96">
        <f>(J133+K133+L133+M133+N133)*E133</f>
        <v>0</v>
      </c>
      <c r="AC133" s="5"/>
    </row>
    <row r="134" spans="1:29" s="87" customFormat="1">
      <c r="A134" s="37" t="s">
        <v>283</v>
      </c>
      <c r="B134" s="38" t="s">
        <v>284</v>
      </c>
      <c r="C134" s="61" t="s">
        <v>70</v>
      </c>
      <c r="D134" s="62">
        <v>0</v>
      </c>
      <c r="E134" s="63">
        <v>19.2</v>
      </c>
      <c r="F134" s="63"/>
      <c r="G134" s="63">
        <v>15.61</v>
      </c>
      <c r="H134" s="64">
        <f t="shared" si="35"/>
        <v>0</v>
      </c>
      <c r="I134" s="155" t="s">
        <v>285</v>
      </c>
      <c r="J134" s="65">
        <v>0</v>
      </c>
      <c r="K134" s="65"/>
      <c r="L134" s="65"/>
      <c r="M134" s="65"/>
      <c r="N134" s="65"/>
      <c r="O134" s="65"/>
      <c r="P134" s="65"/>
      <c r="Q134" s="65"/>
      <c r="R134" s="65"/>
      <c r="S134" s="65"/>
      <c r="T134" s="65">
        <f t="shared" si="36"/>
        <v>0</v>
      </c>
      <c r="U134" s="65">
        <f t="shared" si="37"/>
        <v>0</v>
      </c>
      <c r="V134" s="65">
        <f t="shared" si="38"/>
        <v>0</v>
      </c>
      <c r="W134" s="42">
        <v>0</v>
      </c>
      <c r="X134" s="42">
        <f t="shared" si="40"/>
        <v>0</v>
      </c>
      <c r="Y134" s="43">
        <f t="shared" si="41"/>
        <v>0</v>
      </c>
      <c r="Z134" s="96">
        <f>(J134+K134+L134+M134)*E134</f>
        <v>0</v>
      </c>
      <c r="AA134" s="96">
        <f t="shared" si="43"/>
        <v>0</v>
      </c>
      <c r="AB134" s="96">
        <f>(J134+K134+L134+M134+N134)*E134</f>
        <v>0</v>
      </c>
      <c r="AC134" s="5"/>
    </row>
    <row r="135" spans="1:29" s="87" customFormat="1">
      <c r="A135" s="37" t="s">
        <v>286</v>
      </c>
      <c r="B135" s="38" t="s">
        <v>287</v>
      </c>
      <c r="C135" s="61" t="s">
        <v>70</v>
      </c>
      <c r="D135" s="62">
        <v>0</v>
      </c>
      <c r="E135" s="63">
        <v>12.46</v>
      </c>
      <c r="F135" s="63"/>
      <c r="G135" s="63">
        <v>10.130000000000001</v>
      </c>
      <c r="H135" s="64">
        <f t="shared" si="35"/>
        <v>0</v>
      </c>
      <c r="I135" s="155" t="s">
        <v>288</v>
      </c>
      <c r="J135" s="65">
        <v>0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>
        <f t="shared" si="36"/>
        <v>0</v>
      </c>
      <c r="U135" s="65">
        <f t="shared" si="37"/>
        <v>0</v>
      </c>
      <c r="V135" s="65">
        <f t="shared" si="38"/>
        <v>0</v>
      </c>
      <c r="W135" s="42">
        <v>0</v>
      </c>
      <c r="X135" s="42">
        <f t="shared" si="40"/>
        <v>0</v>
      </c>
      <c r="Y135" s="43">
        <f t="shared" si="41"/>
        <v>0</v>
      </c>
      <c r="Z135" s="96">
        <f>(J135+K135+L135+M135)*E135</f>
        <v>0</v>
      </c>
      <c r="AA135" s="96">
        <f t="shared" si="43"/>
        <v>0</v>
      </c>
      <c r="AB135" s="96">
        <f>(J135+K135+L135+M135+N135)*E135</f>
        <v>0</v>
      </c>
      <c r="AC135" s="5"/>
    </row>
    <row r="136" spans="1:29" s="87" customFormat="1">
      <c r="A136" s="182" t="s">
        <v>289</v>
      </c>
      <c r="B136" s="183" t="s">
        <v>290</v>
      </c>
      <c r="C136" s="184" t="s">
        <v>70</v>
      </c>
      <c r="D136" s="62">
        <v>0</v>
      </c>
      <c r="E136" s="63">
        <v>24.28</v>
      </c>
      <c r="F136" s="180"/>
      <c r="G136" s="63">
        <v>19.739999999999998</v>
      </c>
      <c r="H136" s="64">
        <f t="shared" si="35"/>
        <v>0</v>
      </c>
      <c r="I136" s="185" t="s">
        <v>291</v>
      </c>
      <c r="J136" s="65">
        <v>0</v>
      </c>
      <c r="K136" s="65"/>
      <c r="L136" s="65"/>
      <c r="M136" s="65"/>
      <c r="N136" s="65"/>
      <c r="O136" s="65"/>
      <c r="P136" s="65"/>
      <c r="Q136" s="65"/>
      <c r="R136" s="65"/>
      <c r="S136" s="65"/>
      <c r="T136" s="65">
        <f t="shared" si="36"/>
        <v>0</v>
      </c>
      <c r="U136" s="65">
        <f t="shared" si="37"/>
        <v>0</v>
      </c>
      <c r="V136" s="65">
        <f t="shared" si="38"/>
        <v>0</v>
      </c>
      <c r="W136" s="42">
        <v>0</v>
      </c>
      <c r="X136" s="42">
        <f t="shared" si="40"/>
        <v>0</v>
      </c>
      <c r="Y136" s="43">
        <f t="shared" si="41"/>
        <v>0</v>
      </c>
      <c r="Z136" s="96">
        <f>(J136+K136+L136+M136)*E136</f>
        <v>0</v>
      </c>
      <c r="AA136" s="96">
        <f t="shared" si="43"/>
        <v>0</v>
      </c>
      <c r="AB136" s="96">
        <f>(J136+K136+L136+M136+N136)*E136</f>
        <v>0</v>
      </c>
      <c r="AC136" s="5"/>
    </row>
    <row r="137" spans="1:29" s="87" customFormat="1">
      <c r="A137" s="37" t="s">
        <v>292</v>
      </c>
      <c r="B137" s="38" t="s">
        <v>293</v>
      </c>
      <c r="C137" s="61" t="s">
        <v>70</v>
      </c>
      <c r="D137" s="62">
        <v>8</v>
      </c>
      <c r="E137" s="63">
        <v>63.73</v>
      </c>
      <c r="F137" s="39">
        <f>U137</f>
        <v>8</v>
      </c>
      <c r="G137" s="63">
        <v>51.81</v>
      </c>
      <c r="H137" s="64">
        <f t="shared" si="35"/>
        <v>509.84</v>
      </c>
      <c r="I137" s="208" t="s">
        <v>294</v>
      </c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5">
        <f t="shared" si="36"/>
        <v>0</v>
      </c>
      <c r="U137" s="65">
        <f t="shared" si="37"/>
        <v>8</v>
      </c>
      <c r="V137" s="65">
        <f t="shared" si="38"/>
        <v>509.84</v>
      </c>
      <c r="W137" s="42">
        <f t="shared" si="39"/>
        <v>0</v>
      </c>
      <c r="X137" s="42">
        <f t="shared" si="40"/>
        <v>0</v>
      </c>
      <c r="Y137" s="43">
        <f t="shared" si="41"/>
        <v>0</v>
      </c>
      <c r="Z137" s="96">
        <f>(J137+K137+L137+M137+N137)*E137</f>
        <v>0</v>
      </c>
      <c r="AA137" s="96">
        <f>S137*G137</f>
        <v>0</v>
      </c>
      <c r="AB137" s="96">
        <f>(J137+K137+L137+M137+N137+O137)*E137</f>
        <v>0</v>
      </c>
      <c r="AC137" s="5"/>
    </row>
    <row r="138" spans="1:29" s="87" customFormat="1">
      <c r="A138" s="37" t="s">
        <v>295</v>
      </c>
      <c r="B138" s="38" t="s">
        <v>296</v>
      </c>
      <c r="C138" s="61" t="s">
        <v>70</v>
      </c>
      <c r="D138" s="62">
        <v>1</v>
      </c>
      <c r="E138" s="63">
        <v>77.8</v>
      </c>
      <c r="F138" s="39">
        <f>U138</f>
        <v>1</v>
      </c>
      <c r="G138" s="63">
        <v>63.25</v>
      </c>
      <c r="H138" s="64">
        <f t="shared" si="35"/>
        <v>77.8</v>
      </c>
      <c r="I138" s="208" t="s">
        <v>297</v>
      </c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5">
        <f t="shared" si="36"/>
        <v>0</v>
      </c>
      <c r="U138" s="65">
        <f t="shared" si="37"/>
        <v>1</v>
      </c>
      <c r="V138" s="65">
        <f t="shared" si="38"/>
        <v>77.8</v>
      </c>
      <c r="W138" s="42">
        <f t="shared" si="39"/>
        <v>0</v>
      </c>
      <c r="X138" s="42">
        <f t="shared" si="40"/>
        <v>0</v>
      </c>
      <c r="Y138" s="43">
        <f t="shared" si="41"/>
        <v>0</v>
      </c>
      <c r="Z138" s="96">
        <f>(J138+K138+L138+M138+N138)*E138</f>
        <v>0</v>
      </c>
      <c r="AA138" s="96">
        <f>S138*G138</f>
        <v>0</v>
      </c>
      <c r="AB138" s="96">
        <f>(J138+K138+L138+M138+N138+O138)*E138</f>
        <v>0</v>
      </c>
      <c r="AC138" s="5"/>
    </row>
    <row r="139" spans="1:29" s="87" customFormat="1">
      <c r="A139" s="192" t="s">
        <v>298</v>
      </c>
      <c r="B139" s="193" t="s">
        <v>299</v>
      </c>
      <c r="C139" s="194" t="s">
        <v>189</v>
      </c>
      <c r="D139" s="62">
        <v>0</v>
      </c>
      <c r="E139" s="63">
        <v>9.2899999999999991</v>
      </c>
      <c r="F139" s="195"/>
      <c r="G139" s="63">
        <v>7.55</v>
      </c>
      <c r="H139" s="64">
        <f t="shared" si="35"/>
        <v>0</v>
      </c>
      <c r="I139" s="196" t="s">
        <v>300</v>
      </c>
      <c r="J139" s="65">
        <v>0</v>
      </c>
      <c r="K139" s="65"/>
      <c r="L139" s="65"/>
      <c r="M139" s="65"/>
      <c r="N139" s="65"/>
      <c r="O139" s="65"/>
      <c r="P139" s="65"/>
      <c r="Q139" s="65"/>
      <c r="R139" s="65"/>
      <c r="S139" s="65"/>
      <c r="T139" s="65">
        <f t="shared" si="36"/>
        <v>0</v>
      </c>
      <c r="U139" s="65">
        <f t="shared" si="37"/>
        <v>0</v>
      </c>
      <c r="V139" s="65">
        <f t="shared" si="38"/>
        <v>0</v>
      </c>
      <c r="W139" s="42">
        <v>0</v>
      </c>
      <c r="X139" s="42">
        <f t="shared" si="40"/>
        <v>0</v>
      </c>
      <c r="Y139" s="43">
        <f t="shared" si="41"/>
        <v>0</v>
      </c>
      <c r="Z139" s="96">
        <f>(J139+K139+L139+M139)*E139</f>
        <v>0</v>
      </c>
      <c r="AA139" s="96">
        <f t="shared" ref="AA139:AA145" si="48">Q139*E139</f>
        <v>0</v>
      </c>
      <c r="AB139" s="96">
        <f>(J139+K139+L139+M139+N139)*E139</f>
        <v>0</v>
      </c>
      <c r="AC139" s="5"/>
    </row>
    <row r="140" spans="1:29" s="87" customFormat="1">
      <c r="A140" s="37" t="s">
        <v>301</v>
      </c>
      <c r="B140" s="38" t="s">
        <v>302</v>
      </c>
      <c r="C140" s="61" t="s">
        <v>189</v>
      </c>
      <c r="D140" s="62">
        <v>0</v>
      </c>
      <c r="E140" s="63">
        <v>11</v>
      </c>
      <c r="F140" s="63"/>
      <c r="G140" s="63">
        <v>8.94</v>
      </c>
      <c r="H140" s="64">
        <f t="shared" si="35"/>
        <v>0</v>
      </c>
      <c r="I140" s="155" t="s">
        <v>303</v>
      </c>
      <c r="J140" s="65">
        <v>0</v>
      </c>
      <c r="K140" s="65"/>
      <c r="L140" s="65"/>
      <c r="M140" s="65"/>
      <c r="N140" s="65"/>
      <c r="O140" s="65"/>
      <c r="P140" s="65"/>
      <c r="Q140" s="65"/>
      <c r="R140" s="65"/>
      <c r="S140" s="65"/>
      <c r="T140" s="65">
        <f t="shared" si="36"/>
        <v>0</v>
      </c>
      <c r="U140" s="65">
        <f t="shared" si="37"/>
        <v>0</v>
      </c>
      <c r="V140" s="65">
        <f t="shared" si="38"/>
        <v>0</v>
      </c>
      <c r="W140" s="42">
        <v>0</v>
      </c>
      <c r="X140" s="42">
        <f t="shared" si="40"/>
        <v>0</v>
      </c>
      <c r="Y140" s="43">
        <f t="shared" si="41"/>
        <v>0</v>
      </c>
      <c r="Z140" s="96">
        <f>(J140+K140+L140+M140)*E140</f>
        <v>0</v>
      </c>
      <c r="AA140" s="96">
        <f t="shared" si="48"/>
        <v>0</v>
      </c>
      <c r="AB140" s="96">
        <f>(J140+K140+L140+M140+N140)*E140</f>
        <v>0</v>
      </c>
      <c r="AC140" s="5"/>
    </row>
    <row r="141" spans="1:29" s="87" customFormat="1">
      <c r="A141" s="37" t="s">
        <v>304</v>
      </c>
      <c r="B141" s="38" t="s">
        <v>305</v>
      </c>
      <c r="C141" s="61" t="s">
        <v>189</v>
      </c>
      <c r="D141" s="62">
        <v>0</v>
      </c>
      <c r="E141" s="63">
        <v>15.14</v>
      </c>
      <c r="F141" s="63"/>
      <c r="G141" s="63">
        <v>12.31</v>
      </c>
      <c r="H141" s="64">
        <f t="shared" si="35"/>
        <v>0</v>
      </c>
      <c r="I141" s="155" t="s">
        <v>306</v>
      </c>
      <c r="J141" s="65">
        <v>0</v>
      </c>
      <c r="K141" s="65"/>
      <c r="L141" s="65"/>
      <c r="M141" s="65"/>
      <c r="N141" s="65"/>
      <c r="O141" s="65"/>
      <c r="P141" s="65"/>
      <c r="Q141" s="65"/>
      <c r="R141" s="65"/>
      <c r="S141" s="65"/>
      <c r="T141" s="65">
        <f t="shared" si="36"/>
        <v>0</v>
      </c>
      <c r="U141" s="65">
        <f t="shared" si="37"/>
        <v>0</v>
      </c>
      <c r="V141" s="65">
        <f t="shared" si="38"/>
        <v>0</v>
      </c>
      <c r="W141" s="42">
        <v>0</v>
      </c>
      <c r="X141" s="42">
        <f t="shared" si="40"/>
        <v>0</v>
      </c>
      <c r="Y141" s="43">
        <f t="shared" si="41"/>
        <v>0</v>
      </c>
      <c r="Z141" s="96">
        <f>(J141+K141+L141+M141)*E141</f>
        <v>0</v>
      </c>
      <c r="AA141" s="96">
        <f t="shared" si="48"/>
        <v>0</v>
      </c>
      <c r="AB141" s="96">
        <f>(J141+K141+L141+M141+N141)*E141</f>
        <v>0</v>
      </c>
      <c r="AC141" s="5"/>
    </row>
    <row r="142" spans="1:29" s="87" customFormat="1">
      <c r="A142" s="37" t="s">
        <v>307</v>
      </c>
      <c r="B142" s="38" t="s">
        <v>308</v>
      </c>
      <c r="C142" s="61" t="s">
        <v>189</v>
      </c>
      <c r="D142" s="62">
        <v>0</v>
      </c>
      <c r="E142" s="63">
        <v>32.32</v>
      </c>
      <c r="F142" s="63"/>
      <c r="G142" s="63">
        <v>26.28</v>
      </c>
      <c r="H142" s="64">
        <f t="shared" si="35"/>
        <v>0</v>
      </c>
      <c r="I142" s="155" t="s">
        <v>309</v>
      </c>
      <c r="J142" s="65">
        <v>0</v>
      </c>
      <c r="K142" s="65"/>
      <c r="L142" s="65"/>
      <c r="M142" s="65"/>
      <c r="N142" s="65"/>
      <c r="O142" s="65"/>
      <c r="P142" s="65"/>
      <c r="Q142" s="65"/>
      <c r="R142" s="65"/>
      <c r="S142" s="65"/>
      <c r="T142" s="65">
        <f t="shared" si="36"/>
        <v>0</v>
      </c>
      <c r="U142" s="65">
        <f t="shared" si="37"/>
        <v>0</v>
      </c>
      <c r="V142" s="65">
        <f t="shared" si="38"/>
        <v>0</v>
      </c>
      <c r="W142" s="42">
        <v>0</v>
      </c>
      <c r="X142" s="42">
        <f t="shared" si="40"/>
        <v>0</v>
      </c>
      <c r="Y142" s="43">
        <f t="shared" si="41"/>
        <v>0</v>
      </c>
      <c r="Z142" s="96">
        <f>(J142+K142+L142+M142)*E142</f>
        <v>0</v>
      </c>
      <c r="AA142" s="96">
        <f t="shared" si="48"/>
        <v>0</v>
      </c>
      <c r="AB142" s="96">
        <f>(J142+K142+L142+M142+N142)*E142</f>
        <v>0</v>
      </c>
      <c r="AC142" s="5"/>
    </row>
    <row r="143" spans="1:29">
      <c r="A143" s="37" t="s">
        <v>310</v>
      </c>
      <c r="B143" s="38" t="s">
        <v>311</v>
      </c>
      <c r="C143" s="37" t="s">
        <v>189</v>
      </c>
      <c r="D143" s="39">
        <v>36</v>
      </c>
      <c r="E143" s="40">
        <v>36.049999999999997</v>
      </c>
      <c r="F143" s="40"/>
      <c r="G143" s="40">
        <v>29.31</v>
      </c>
      <c r="H143" s="41">
        <f t="shared" si="35"/>
        <v>1297.8</v>
      </c>
      <c r="I143" s="154" t="s">
        <v>85</v>
      </c>
      <c r="J143" s="62">
        <v>36</v>
      </c>
      <c r="K143" s="62"/>
      <c r="L143" s="62"/>
      <c r="M143" s="62"/>
      <c r="N143" s="62"/>
      <c r="O143" s="62"/>
      <c r="P143" s="62"/>
      <c r="Q143" s="62"/>
      <c r="R143" s="62"/>
      <c r="S143" s="62"/>
      <c r="T143" s="65">
        <f t="shared" si="36"/>
        <v>36</v>
      </c>
      <c r="U143" s="65">
        <f t="shared" si="37"/>
        <v>0</v>
      </c>
      <c r="V143" s="65">
        <f t="shared" si="38"/>
        <v>0</v>
      </c>
      <c r="W143" s="42">
        <f t="shared" si="39"/>
        <v>1</v>
      </c>
      <c r="X143" s="42">
        <f t="shared" si="40"/>
        <v>0</v>
      </c>
      <c r="Y143" s="43">
        <f t="shared" si="41"/>
        <v>1</v>
      </c>
      <c r="Z143" s="96">
        <f>(J143+K143+L143+M143+N143)*E143</f>
        <v>1297.8</v>
      </c>
      <c r="AA143" s="96">
        <f t="shared" si="48"/>
        <v>0</v>
      </c>
      <c r="AB143" s="96">
        <f>(J143+K143+L143+M143+N143+O143)*E143</f>
        <v>1297.8</v>
      </c>
      <c r="AC143" s="5"/>
    </row>
    <row r="144" spans="1:29">
      <c r="A144" s="37" t="s">
        <v>312</v>
      </c>
      <c r="B144" s="38" t="s">
        <v>313</v>
      </c>
      <c r="C144" s="37" t="s">
        <v>70</v>
      </c>
      <c r="D144" s="39">
        <v>6</v>
      </c>
      <c r="E144" s="40">
        <v>4.17</v>
      </c>
      <c r="F144" s="40"/>
      <c r="G144" s="40">
        <v>3.39</v>
      </c>
      <c r="H144" s="41">
        <f t="shared" si="35"/>
        <v>25.02</v>
      </c>
      <c r="I144" s="154" t="s">
        <v>85</v>
      </c>
      <c r="J144" s="62">
        <v>6</v>
      </c>
      <c r="K144" s="62"/>
      <c r="L144" s="62"/>
      <c r="M144" s="62"/>
      <c r="N144" s="62"/>
      <c r="O144" s="62"/>
      <c r="P144" s="62"/>
      <c r="Q144" s="62"/>
      <c r="R144" s="62"/>
      <c r="S144" s="62"/>
      <c r="T144" s="65">
        <f t="shared" si="36"/>
        <v>6</v>
      </c>
      <c r="U144" s="65">
        <f t="shared" si="37"/>
        <v>0</v>
      </c>
      <c r="V144" s="65">
        <f t="shared" si="38"/>
        <v>0</v>
      </c>
      <c r="W144" s="42">
        <f t="shared" si="39"/>
        <v>1</v>
      </c>
      <c r="X144" s="42">
        <f t="shared" si="40"/>
        <v>0</v>
      </c>
      <c r="Y144" s="43">
        <f t="shared" si="41"/>
        <v>1</v>
      </c>
      <c r="Z144" s="96">
        <f>(J144+K144+L144+M144+N144)*E144</f>
        <v>25.02</v>
      </c>
      <c r="AA144" s="96">
        <f t="shared" si="48"/>
        <v>0</v>
      </c>
      <c r="AB144" s="96">
        <f>(J144+K144+L144+M144+N144+O144)*E144</f>
        <v>25.02</v>
      </c>
      <c r="AC144" s="5"/>
    </row>
    <row r="145" spans="1:29">
      <c r="A145" s="182" t="s">
        <v>314</v>
      </c>
      <c r="B145" s="183" t="s">
        <v>315</v>
      </c>
      <c r="C145" s="182" t="s">
        <v>70</v>
      </c>
      <c r="D145" s="39">
        <v>2</v>
      </c>
      <c r="E145" s="40">
        <v>24.94</v>
      </c>
      <c r="F145" s="186"/>
      <c r="G145" s="40">
        <v>20.28</v>
      </c>
      <c r="H145" s="41">
        <f t="shared" si="35"/>
        <v>49.88</v>
      </c>
      <c r="I145" s="187" t="s">
        <v>85</v>
      </c>
      <c r="J145" s="62">
        <v>2</v>
      </c>
      <c r="K145" s="62"/>
      <c r="L145" s="62"/>
      <c r="M145" s="62"/>
      <c r="N145" s="62"/>
      <c r="O145" s="62"/>
      <c r="P145" s="62"/>
      <c r="Q145" s="62"/>
      <c r="R145" s="62"/>
      <c r="S145" s="62"/>
      <c r="T145" s="65">
        <f t="shared" si="36"/>
        <v>2</v>
      </c>
      <c r="U145" s="65">
        <f t="shared" si="37"/>
        <v>0</v>
      </c>
      <c r="V145" s="65">
        <f t="shared" si="38"/>
        <v>0</v>
      </c>
      <c r="W145" s="42">
        <f t="shared" si="39"/>
        <v>1</v>
      </c>
      <c r="X145" s="42">
        <f t="shared" si="40"/>
        <v>0</v>
      </c>
      <c r="Y145" s="43">
        <f t="shared" si="41"/>
        <v>1</v>
      </c>
      <c r="Z145" s="96">
        <f>(J145+K145+L145+M145+N145)*E145</f>
        <v>49.88</v>
      </c>
      <c r="AA145" s="96">
        <f t="shared" si="48"/>
        <v>0</v>
      </c>
      <c r="AB145" s="96">
        <f>(J145+K145+L145+M145+N145+O145)*E145</f>
        <v>49.88</v>
      </c>
      <c r="AC145" s="5"/>
    </row>
    <row r="146" spans="1:29" s="87" customFormat="1" ht="51">
      <c r="A146" s="37" t="s">
        <v>316</v>
      </c>
      <c r="B146" s="38" t="s">
        <v>317</v>
      </c>
      <c r="C146" s="61" t="s">
        <v>70</v>
      </c>
      <c r="D146" s="62">
        <v>2</v>
      </c>
      <c r="E146" s="63">
        <v>324.98</v>
      </c>
      <c r="F146" s="39">
        <f>U146</f>
        <v>2</v>
      </c>
      <c r="G146" s="63">
        <v>264.20999999999998</v>
      </c>
      <c r="H146" s="64">
        <f t="shared" si="35"/>
        <v>649.96</v>
      </c>
      <c r="I146" s="155" t="s">
        <v>85</v>
      </c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5">
        <f t="shared" si="36"/>
        <v>0</v>
      </c>
      <c r="U146" s="65">
        <f t="shared" si="37"/>
        <v>2</v>
      </c>
      <c r="V146" s="65">
        <f t="shared" si="38"/>
        <v>649.96</v>
      </c>
      <c r="W146" s="42">
        <f t="shared" si="39"/>
        <v>0</v>
      </c>
      <c r="X146" s="42">
        <f t="shared" si="40"/>
        <v>0</v>
      </c>
      <c r="Y146" s="43">
        <f t="shared" si="41"/>
        <v>0</v>
      </c>
      <c r="Z146" s="96">
        <f>(J146+K146+L146+M146+N146)*E146</f>
        <v>0</v>
      </c>
      <c r="AA146" s="96">
        <f>S146*G146</f>
        <v>0</v>
      </c>
      <c r="AB146" s="96">
        <f>(J146+K146+L146+M146+N146+O146)*E146</f>
        <v>0</v>
      </c>
      <c r="AC146" s="5"/>
    </row>
    <row r="147" spans="1:29" s="87" customFormat="1" ht="38.25">
      <c r="A147" s="37" t="s">
        <v>318</v>
      </c>
      <c r="B147" s="38" t="s">
        <v>319</v>
      </c>
      <c r="C147" s="61" t="s">
        <v>70</v>
      </c>
      <c r="D147" s="62">
        <v>4</v>
      </c>
      <c r="E147" s="63">
        <v>222.9</v>
      </c>
      <c r="F147" s="39">
        <f>U147</f>
        <v>4</v>
      </c>
      <c r="G147" s="63">
        <v>181.22</v>
      </c>
      <c r="H147" s="64">
        <f t="shared" si="35"/>
        <v>891.6</v>
      </c>
      <c r="I147" s="208" t="s">
        <v>320</v>
      </c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5">
        <f t="shared" si="36"/>
        <v>0</v>
      </c>
      <c r="U147" s="65">
        <f t="shared" si="37"/>
        <v>4</v>
      </c>
      <c r="V147" s="65">
        <f t="shared" si="38"/>
        <v>891.6</v>
      </c>
      <c r="W147" s="42">
        <f t="shared" si="39"/>
        <v>0</v>
      </c>
      <c r="X147" s="42">
        <f t="shared" si="40"/>
        <v>0</v>
      </c>
      <c r="Y147" s="43">
        <f t="shared" si="41"/>
        <v>0</v>
      </c>
      <c r="Z147" s="96">
        <f>(J147+K147+L147+M147+N147)*E147</f>
        <v>0</v>
      </c>
      <c r="AA147" s="96">
        <f>S147*G147</f>
        <v>0</v>
      </c>
      <c r="AB147" s="96">
        <f>(J147+K147+L147+M147+N147+O147)*E147</f>
        <v>0</v>
      </c>
      <c r="AC147" s="5"/>
    </row>
    <row r="148" spans="1:29" s="87" customFormat="1">
      <c r="A148" s="202"/>
      <c r="B148" s="202"/>
      <c r="C148" s="202"/>
      <c r="D148" s="58"/>
      <c r="E148" s="63"/>
      <c r="F148" s="190"/>
      <c r="G148" s="63">
        <v>0</v>
      </c>
      <c r="H148" s="59"/>
      <c r="I148" s="204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65">
        <f t="shared" si="36"/>
        <v>0</v>
      </c>
      <c r="U148" s="79"/>
      <c r="V148" s="65">
        <f t="shared" si="38"/>
        <v>0</v>
      </c>
      <c r="W148" s="42">
        <v>0</v>
      </c>
      <c r="X148" s="42">
        <f t="shared" si="40"/>
        <v>0</v>
      </c>
      <c r="Y148" s="43">
        <f t="shared" si="41"/>
        <v>0</v>
      </c>
      <c r="Z148" s="96">
        <f>(J148+K148+L148+M148)*E148</f>
        <v>0</v>
      </c>
      <c r="AA148" s="96">
        <f>Q148*E148</f>
        <v>0</v>
      </c>
      <c r="AB148" s="96">
        <f>(J148+K148+L148+M148+N148)*E148</f>
        <v>0</v>
      </c>
    </row>
    <row r="149" spans="1:29" s="88" customFormat="1">
      <c r="A149" s="53">
        <v>12</v>
      </c>
      <c r="B149" s="31" t="s">
        <v>321</v>
      </c>
      <c r="C149" s="32"/>
      <c r="D149" s="33"/>
      <c r="E149" s="34">
        <v>0</v>
      </c>
      <c r="F149" s="34"/>
      <c r="G149" s="34">
        <v>0</v>
      </c>
      <c r="H149" s="35">
        <f>SUM(H150:H170)</f>
        <v>7724.5299999999988</v>
      </c>
      <c r="I149" s="48"/>
      <c r="J149" s="60"/>
      <c r="K149" s="60"/>
      <c r="L149" s="103"/>
      <c r="M149" s="60"/>
      <c r="N149" s="60"/>
      <c r="O149" s="60"/>
      <c r="P149" s="60"/>
      <c r="Q149" s="60"/>
      <c r="R149" s="103"/>
      <c r="S149" s="60"/>
      <c r="T149" s="60"/>
      <c r="U149" s="60"/>
      <c r="V149" s="35">
        <f>SUM(V150:V170)</f>
        <v>524.33000000000004</v>
      </c>
      <c r="W149" s="36"/>
      <c r="X149" s="140"/>
      <c r="Y149" s="36"/>
      <c r="Z149" s="35">
        <f>SUM(Z150:Z170)</f>
        <v>7200.1999999999989</v>
      </c>
      <c r="AA149" s="35">
        <f>SUM(AA150:AA170)</f>
        <v>0</v>
      </c>
      <c r="AB149" s="35">
        <f>SUM(AB150:AB170)</f>
        <v>7200.1999999999989</v>
      </c>
      <c r="AC149" s="1"/>
    </row>
    <row r="150" spans="1:29">
      <c r="A150" s="192" t="s">
        <v>322</v>
      </c>
      <c r="B150" s="193" t="s">
        <v>323</v>
      </c>
      <c r="C150" s="192" t="s">
        <v>70</v>
      </c>
      <c r="D150" s="39">
        <v>5</v>
      </c>
      <c r="E150" s="40">
        <v>6.86</v>
      </c>
      <c r="F150" s="205"/>
      <c r="G150" s="40">
        <v>5.58</v>
      </c>
      <c r="H150" s="41">
        <f t="shared" ref="H150:H170" si="49">ROUND(D150*E150,2)</f>
        <v>34.299999999999997</v>
      </c>
      <c r="I150" s="206" t="s">
        <v>85</v>
      </c>
      <c r="J150" s="62">
        <v>5</v>
      </c>
      <c r="K150" s="62"/>
      <c r="L150" s="62"/>
      <c r="M150" s="62"/>
      <c r="N150" s="62"/>
      <c r="O150" s="62"/>
      <c r="P150" s="62"/>
      <c r="Q150" s="62"/>
      <c r="R150" s="62"/>
      <c r="S150" s="62"/>
      <c r="T150" s="65">
        <f t="shared" ref="T150:T171" si="50">SUM(J150:S150)</f>
        <v>5</v>
      </c>
      <c r="U150" s="65">
        <f t="shared" ref="U150:U170" si="51">D150-T150</f>
        <v>0</v>
      </c>
      <c r="V150" s="65">
        <f t="shared" ref="V150:V171" si="52">U150*E150</f>
        <v>0</v>
      </c>
      <c r="W150" s="42">
        <f t="shared" ref="W150:W170" si="53">(SUM(J150:R150))/D150</f>
        <v>1</v>
      </c>
      <c r="X150" s="42">
        <f t="shared" ref="X150:X171" si="54">IF(D150=0,0,S150/D150)</f>
        <v>0</v>
      </c>
      <c r="Y150" s="43">
        <f t="shared" ref="Y150:Y171" si="55">W150+X150</f>
        <v>1</v>
      </c>
      <c r="Z150" s="96">
        <f t="shared" ref="Z150:Z170" si="56">(J150+K150+L150+M150+N150)*E150</f>
        <v>34.300000000000004</v>
      </c>
      <c r="AA150" s="96">
        <f>Q150*E150</f>
        <v>0</v>
      </c>
      <c r="AB150" s="96">
        <f t="shared" ref="AB150:AB170" si="57">(J150+K150+L150+M150+N150+O150)*E150</f>
        <v>34.300000000000004</v>
      </c>
      <c r="AC150" s="5"/>
    </row>
    <row r="151" spans="1:29">
      <c r="A151" s="37" t="s">
        <v>324</v>
      </c>
      <c r="B151" s="38" t="s">
        <v>325</v>
      </c>
      <c r="C151" s="37" t="s">
        <v>70</v>
      </c>
      <c r="D151" s="39">
        <v>4</v>
      </c>
      <c r="E151" s="40">
        <v>501.8</v>
      </c>
      <c r="F151" s="40"/>
      <c r="G151" s="40">
        <v>407.97</v>
      </c>
      <c r="H151" s="41">
        <f t="shared" si="49"/>
        <v>2007.2</v>
      </c>
      <c r="I151" s="154" t="s">
        <v>85</v>
      </c>
      <c r="J151" s="62">
        <v>4</v>
      </c>
      <c r="K151" s="62"/>
      <c r="L151" s="62"/>
      <c r="M151" s="62"/>
      <c r="N151" s="62"/>
      <c r="O151" s="62"/>
      <c r="P151" s="62"/>
      <c r="Q151" s="62"/>
      <c r="R151" s="62"/>
      <c r="S151" s="62"/>
      <c r="T151" s="65">
        <f t="shared" si="50"/>
        <v>4</v>
      </c>
      <c r="U151" s="65">
        <f t="shared" si="51"/>
        <v>0</v>
      </c>
      <c r="V151" s="65">
        <f t="shared" si="52"/>
        <v>0</v>
      </c>
      <c r="W151" s="42">
        <f t="shared" si="53"/>
        <v>1</v>
      </c>
      <c r="X151" s="42">
        <f t="shared" si="54"/>
        <v>0</v>
      </c>
      <c r="Y151" s="43">
        <f t="shared" si="55"/>
        <v>1</v>
      </c>
      <c r="Z151" s="96">
        <f t="shared" si="56"/>
        <v>2007.2</v>
      </c>
      <c r="AA151" s="96">
        <f>Q151*E151</f>
        <v>0</v>
      </c>
      <c r="AB151" s="96">
        <f t="shared" si="57"/>
        <v>2007.2</v>
      </c>
      <c r="AC151" s="5"/>
    </row>
    <row r="152" spans="1:29">
      <c r="A152" s="182" t="s">
        <v>326</v>
      </c>
      <c r="B152" s="183" t="s">
        <v>327</v>
      </c>
      <c r="C152" s="182" t="s">
        <v>70</v>
      </c>
      <c r="D152" s="39">
        <v>6</v>
      </c>
      <c r="E152" s="40">
        <v>25.53</v>
      </c>
      <c r="F152" s="186"/>
      <c r="G152" s="40">
        <v>20.76</v>
      </c>
      <c r="H152" s="41">
        <f t="shared" si="49"/>
        <v>153.18</v>
      </c>
      <c r="I152" s="187" t="s">
        <v>85</v>
      </c>
      <c r="J152" s="62">
        <v>6</v>
      </c>
      <c r="K152" s="62"/>
      <c r="L152" s="62"/>
      <c r="M152" s="62"/>
      <c r="N152" s="62"/>
      <c r="O152" s="62"/>
      <c r="P152" s="62"/>
      <c r="Q152" s="62"/>
      <c r="R152" s="62"/>
      <c r="S152" s="62"/>
      <c r="T152" s="65">
        <f t="shared" si="50"/>
        <v>6</v>
      </c>
      <c r="U152" s="65">
        <f t="shared" si="51"/>
        <v>0</v>
      </c>
      <c r="V152" s="65">
        <f t="shared" si="52"/>
        <v>0</v>
      </c>
      <c r="W152" s="42">
        <f t="shared" si="53"/>
        <v>1</v>
      </c>
      <c r="X152" s="42">
        <f t="shared" si="54"/>
        <v>0</v>
      </c>
      <c r="Y152" s="43">
        <f t="shared" si="55"/>
        <v>1</v>
      </c>
      <c r="Z152" s="96">
        <f t="shared" si="56"/>
        <v>153.18</v>
      </c>
      <c r="AA152" s="96">
        <f>Q152*E152</f>
        <v>0</v>
      </c>
      <c r="AB152" s="96">
        <f t="shared" si="57"/>
        <v>153.18</v>
      </c>
      <c r="AC152" s="5"/>
    </row>
    <row r="153" spans="1:29" s="87" customFormat="1">
      <c r="A153" s="37" t="s">
        <v>328</v>
      </c>
      <c r="B153" s="38" t="s">
        <v>329</v>
      </c>
      <c r="C153" s="61" t="s">
        <v>70</v>
      </c>
      <c r="D153" s="62">
        <v>4</v>
      </c>
      <c r="E153" s="63">
        <v>24.91</v>
      </c>
      <c r="F153" s="39">
        <f>U153</f>
        <v>4</v>
      </c>
      <c r="G153" s="63">
        <v>20.25</v>
      </c>
      <c r="H153" s="64">
        <f t="shared" si="49"/>
        <v>99.64</v>
      </c>
      <c r="I153" s="208" t="s">
        <v>330</v>
      </c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5">
        <f t="shared" si="50"/>
        <v>0</v>
      </c>
      <c r="U153" s="65">
        <f t="shared" si="51"/>
        <v>4</v>
      </c>
      <c r="V153" s="65">
        <f t="shared" si="52"/>
        <v>99.64</v>
      </c>
      <c r="W153" s="42">
        <f t="shared" si="53"/>
        <v>0</v>
      </c>
      <c r="X153" s="42">
        <f t="shared" si="54"/>
        <v>0</v>
      </c>
      <c r="Y153" s="43">
        <f t="shared" si="55"/>
        <v>0</v>
      </c>
      <c r="Z153" s="96">
        <f t="shared" si="56"/>
        <v>0</v>
      </c>
      <c r="AA153" s="96">
        <f>S153*G153</f>
        <v>0</v>
      </c>
      <c r="AB153" s="96">
        <f t="shared" si="57"/>
        <v>0</v>
      </c>
      <c r="AC153" s="5"/>
    </row>
    <row r="154" spans="1:29">
      <c r="A154" s="192" t="s">
        <v>331</v>
      </c>
      <c r="B154" s="193" t="s">
        <v>332</v>
      </c>
      <c r="C154" s="192" t="s">
        <v>70</v>
      </c>
      <c r="D154" s="39">
        <v>14</v>
      </c>
      <c r="E154" s="40">
        <v>7.4</v>
      </c>
      <c r="F154" s="205"/>
      <c r="G154" s="40">
        <v>6.02</v>
      </c>
      <c r="H154" s="41">
        <f t="shared" si="49"/>
        <v>103.6</v>
      </c>
      <c r="I154" s="206" t="s">
        <v>85</v>
      </c>
      <c r="J154" s="62">
        <v>14</v>
      </c>
      <c r="K154" s="62"/>
      <c r="L154" s="62"/>
      <c r="M154" s="62"/>
      <c r="N154" s="62"/>
      <c r="O154" s="62"/>
      <c r="P154" s="62"/>
      <c r="Q154" s="62"/>
      <c r="R154" s="62"/>
      <c r="S154" s="62"/>
      <c r="T154" s="65">
        <f t="shared" si="50"/>
        <v>14</v>
      </c>
      <c r="U154" s="65">
        <f t="shared" si="51"/>
        <v>0</v>
      </c>
      <c r="V154" s="65">
        <f t="shared" si="52"/>
        <v>0</v>
      </c>
      <c r="W154" s="42">
        <f t="shared" si="53"/>
        <v>1</v>
      </c>
      <c r="X154" s="42">
        <f t="shared" si="54"/>
        <v>0</v>
      </c>
      <c r="Y154" s="43">
        <f t="shared" si="55"/>
        <v>1</v>
      </c>
      <c r="Z154" s="96">
        <f t="shared" si="56"/>
        <v>103.60000000000001</v>
      </c>
      <c r="AA154" s="96">
        <f>Q154*E154</f>
        <v>0</v>
      </c>
      <c r="AB154" s="96">
        <f t="shared" si="57"/>
        <v>103.60000000000001</v>
      </c>
      <c r="AC154" s="5"/>
    </row>
    <row r="155" spans="1:29" s="87" customFormat="1">
      <c r="A155" s="37" t="s">
        <v>333</v>
      </c>
      <c r="B155" s="38" t="s">
        <v>334</v>
      </c>
      <c r="C155" s="61" t="s">
        <v>70</v>
      </c>
      <c r="D155" s="62">
        <v>1</v>
      </c>
      <c r="E155" s="63">
        <v>1303.8</v>
      </c>
      <c r="F155" s="63"/>
      <c r="G155" s="63">
        <v>1060</v>
      </c>
      <c r="H155" s="64">
        <f t="shared" si="49"/>
        <v>1303.8</v>
      </c>
      <c r="I155" s="155" t="s">
        <v>85</v>
      </c>
      <c r="J155" s="62"/>
      <c r="K155" s="62">
        <v>1</v>
      </c>
      <c r="L155" s="62"/>
      <c r="M155" s="62"/>
      <c r="N155" s="62"/>
      <c r="O155" s="62"/>
      <c r="P155" s="62"/>
      <c r="Q155" s="62"/>
      <c r="R155" s="62"/>
      <c r="S155" s="62"/>
      <c r="T155" s="65">
        <f t="shared" si="50"/>
        <v>1</v>
      </c>
      <c r="U155" s="65">
        <f t="shared" si="51"/>
        <v>0</v>
      </c>
      <c r="V155" s="65">
        <f t="shared" si="52"/>
        <v>0</v>
      </c>
      <c r="W155" s="42">
        <f t="shared" si="53"/>
        <v>1</v>
      </c>
      <c r="X155" s="42">
        <f t="shared" si="54"/>
        <v>0</v>
      </c>
      <c r="Y155" s="43">
        <f t="shared" si="55"/>
        <v>1</v>
      </c>
      <c r="Z155" s="96">
        <f t="shared" si="56"/>
        <v>1303.8</v>
      </c>
      <c r="AA155" s="96">
        <f>Q155*E155</f>
        <v>0</v>
      </c>
      <c r="AB155" s="96">
        <f t="shared" si="57"/>
        <v>1303.8</v>
      </c>
      <c r="AC155" s="5"/>
    </row>
    <row r="156" spans="1:29">
      <c r="A156" s="37" t="s">
        <v>335</v>
      </c>
      <c r="B156" s="38" t="s">
        <v>336</v>
      </c>
      <c r="C156" s="37" t="s">
        <v>70</v>
      </c>
      <c r="D156" s="39">
        <v>3</v>
      </c>
      <c r="E156" s="40">
        <v>5.26</v>
      </c>
      <c r="F156" s="40"/>
      <c r="G156" s="40">
        <v>4.28</v>
      </c>
      <c r="H156" s="41">
        <f t="shared" si="49"/>
        <v>15.78</v>
      </c>
      <c r="I156" s="154" t="s">
        <v>85</v>
      </c>
      <c r="J156" s="62">
        <v>3</v>
      </c>
      <c r="K156" s="62"/>
      <c r="L156" s="62"/>
      <c r="M156" s="62"/>
      <c r="N156" s="62"/>
      <c r="O156" s="62"/>
      <c r="P156" s="62"/>
      <c r="Q156" s="62"/>
      <c r="R156" s="62"/>
      <c r="S156" s="62"/>
      <c r="T156" s="65">
        <f t="shared" si="50"/>
        <v>3</v>
      </c>
      <c r="U156" s="65">
        <f t="shared" si="51"/>
        <v>0</v>
      </c>
      <c r="V156" s="65">
        <f t="shared" si="52"/>
        <v>0</v>
      </c>
      <c r="W156" s="42">
        <f t="shared" si="53"/>
        <v>1</v>
      </c>
      <c r="X156" s="42">
        <f t="shared" si="54"/>
        <v>0</v>
      </c>
      <c r="Y156" s="43">
        <f t="shared" si="55"/>
        <v>1</v>
      </c>
      <c r="Z156" s="96">
        <f t="shared" si="56"/>
        <v>15.78</v>
      </c>
      <c r="AA156" s="96">
        <f>Q156*E156</f>
        <v>0</v>
      </c>
      <c r="AB156" s="96">
        <f t="shared" si="57"/>
        <v>15.78</v>
      </c>
      <c r="AC156" s="5"/>
    </row>
    <row r="157" spans="1:29">
      <c r="A157" s="37" t="s">
        <v>337</v>
      </c>
      <c r="B157" s="38" t="s">
        <v>338</v>
      </c>
      <c r="C157" s="37" t="s">
        <v>70</v>
      </c>
      <c r="D157" s="39">
        <v>6</v>
      </c>
      <c r="E157" s="40">
        <v>7.56</v>
      </c>
      <c r="F157" s="40"/>
      <c r="G157" s="40">
        <v>6.15</v>
      </c>
      <c r="H157" s="41">
        <f t="shared" si="49"/>
        <v>45.36</v>
      </c>
      <c r="I157" s="154" t="s">
        <v>85</v>
      </c>
      <c r="J157" s="62">
        <v>6</v>
      </c>
      <c r="K157" s="62"/>
      <c r="L157" s="62"/>
      <c r="M157" s="62"/>
      <c r="N157" s="62"/>
      <c r="O157" s="62"/>
      <c r="P157" s="62"/>
      <c r="Q157" s="62"/>
      <c r="R157" s="62"/>
      <c r="S157" s="62"/>
      <c r="T157" s="65">
        <f t="shared" si="50"/>
        <v>6</v>
      </c>
      <c r="U157" s="65">
        <f t="shared" si="51"/>
        <v>0</v>
      </c>
      <c r="V157" s="65">
        <f t="shared" si="52"/>
        <v>0</v>
      </c>
      <c r="W157" s="42">
        <f t="shared" si="53"/>
        <v>1</v>
      </c>
      <c r="X157" s="42">
        <f t="shared" si="54"/>
        <v>0</v>
      </c>
      <c r="Y157" s="43">
        <f t="shared" si="55"/>
        <v>1</v>
      </c>
      <c r="Z157" s="96">
        <f t="shared" si="56"/>
        <v>45.36</v>
      </c>
      <c r="AA157" s="96">
        <f>Q157*E157</f>
        <v>0</v>
      </c>
      <c r="AB157" s="96">
        <f t="shared" si="57"/>
        <v>45.36</v>
      </c>
      <c r="AC157" s="5"/>
    </row>
    <row r="158" spans="1:29">
      <c r="A158" s="182" t="s">
        <v>339</v>
      </c>
      <c r="B158" s="183" t="s">
        <v>340</v>
      </c>
      <c r="C158" s="182" t="s">
        <v>70</v>
      </c>
      <c r="D158" s="39">
        <v>7</v>
      </c>
      <c r="E158" s="40">
        <v>15.94</v>
      </c>
      <c r="F158" s="186"/>
      <c r="G158" s="40">
        <v>12.96</v>
      </c>
      <c r="H158" s="41">
        <f t="shared" si="49"/>
        <v>111.58</v>
      </c>
      <c r="I158" s="187" t="s">
        <v>85</v>
      </c>
      <c r="J158" s="62">
        <v>7</v>
      </c>
      <c r="K158" s="62"/>
      <c r="L158" s="62"/>
      <c r="M158" s="62"/>
      <c r="N158" s="62"/>
      <c r="O158" s="62"/>
      <c r="P158" s="62"/>
      <c r="Q158" s="62"/>
      <c r="R158" s="62"/>
      <c r="S158" s="62"/>
      <c r="T158" s="65">
        <f t="shared" si="50"/>
        <v>7</v>
      </c>
      <c r="U158" s="65">
        <f t="shared" si="51"/>
        <v>0</v>
      </c>
      <c r="V158" s="65">
        <f t="shared" si="52"/>
        <v>0</v>
      </c>
      <c r="W158" s="42">
        <f t="shared" si="53"/>
        <v>1</v>
      </c>
      <c r="X158" s="42">
        <f t="shared" si="54"/>
        <v>0</v>
      </c>
      <c r="Y158" s="43">
        <f t="shared" si="55"/>
        <v>1</v>
      </c>
      <c r="Z158" s="96">
        <f t="shared" si="56"/>
        <v>111.58</v>
      </c>
      <c r="AA158" s="96">
        <f>Q158*E158</f>
        <v>0</v>
      </c>
      <c r="AB158" s="96">
        <f t="shared" si="57"/>
        <v>111.58</v>
      </c>
      <c r="AC158" s="5"/>
    </row>
    <row r="159" spans="1:29" s="87" customFormat="1">
      <c r="A159" s="37" t="s">
        <v>341</v>
      </c>
      <c r="B159" s="38" t="s">
        <v>342</v>
      </c>
      <c r="C159" s="61" t="s">
        <v>70</v>
      </c>
      <c r="D159" s="62">
        <v>10</v>
      </c>
      <c r="E159" s="63">
        <v>13.39</v>
      </c>
      <c r="F159" s="39">
        <f>U159</f>
        <v>10</v>
      </c>
      <c r="G159" s="63">
        <v>10.89</v>
      </c>
      <c r="H159" s="64">
        <f t="shared" si="49"/>
        <v>133.9</v>
      </c>
      <c r="I159" s="155" t="s">
        <v>85</v>
      </c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5">
        <f t="shared" si="50"/>
        <v>0</v>
      </c>
      <c r="U159" s="65">
        <f t="shared" si="51"/>
        <v>10</v>
      </c>
      <c r="V159" s="65">
        <f t="shared" si="52"/>
        <v>133.9</v>
      </c>
      <c r="W159" s="42">
        <f t="shared" si="53"/>
        <v>0</v>
      </c>
      <c r="X159" s="42">
        <f t="shared" si="54"/>
        <v>0</v>
      </c>
      <c r="Y159" s="43">
        <f t="shared" si="55"/>
        <v>0</v>
      </c>
      <c r="Z159" s="96">
        <f t="shared" si="56"/>
        <v>0</v>
      </c>
      <c r="AA159" s="96">
        <f>S159*G159</f>
        <v>0</v>
      </c>
      <c r="AB159" s="96">
        <f t="shared" si="57"/>
        <v>0</v>
      </c>
      <c r="AC159" s="5"/>
    </row>
    <row r="160" spans="1:29">
      <c r="A160" s="192" t="s">
        <v>343</v>
      </c>
      <c r="B160" s="193" t="s">
        <v>344</v>
      </c>
      <c r="C160" s="192" t="s">
        <v>70</v>
      </c>
      <c r="D160" s="39">
        <v>5</v>
      </c>
      <c r="E160" s="40">
        <v>24.53</v>
      </c>
      <c r="F160" s="205"/>
      <c r="G160" s="40">
        <v>19.940000000000001</v>
      </c>
      <c r="H160" s="41">
        <f t="shared" si="49"/>
        <v>122.65</v>
      </c>
      <c r="I160" s="206" t="s">
        <v>85</v>
      </c>
      <c r="J160" s="62">
        <v>5</v>
      </c>
      <c r="K160" s="62"/>
      <c r="L160" s="62"/>
      <c r="M160" s="62"/>
      <c r="N160" s="62"/>
      <c r="O160" s="62"/>
      <c r="P160" s="62"/>
      <c r="Q160" s="62"/>
      <c r="R160" s="62"/>
      <c r="S160" s="62"/>
      <c r="T160" s="65">
        <f t="shared" si="50"/>
        <v>5</v>
      </c>
      <c r="U160" s="65">
        <f t="shared" si="51"/>
        <v>0</v>
      </c>
      <c r="V160" s="65">
        <f t="shared" si="52"/>
        <v>0</v>
      </c>
      <c r="W160" s="42">
        <f t="shared" si="53"/>
        <v>1</v>
      </c>
      <c r="X160" s="42">
        <f t="shared" si="54"/>
        <v>0</v>
      </c>
      <c r="Y160" s="43">
        <f t="shared" si="55"/>
        <v>1</v>
      </c>
      <c r="Z160" s="96">
        <f t="shared" si="56"/>
        <v>122.65</v>
      </c>
      <c r="AA160" s="96">
        <f>Q160*E160</f>
        <v>0</v>
      </c>
      <c r="AB160" s="96">
        <f t="shared" si="57"/>
        <v>122.65</v>
      </c>
      <c r="AC160" s="5"/>
    </row>
    <row r="161" spans="1:29">
      <c r="A161" s="37" t="s">
        <v>345</v>
      </c>
      <c r="B161" s="38" t="s">
        <v>346</v>
      </c>
      <c r="C161" s="37" t="s">
        <v>70</v>
      </c>
      <c r="D161" s="39">
        <v>6</v>
      </c>
      <c r="E161" s="40">
        <v>29.36</v>
      </c>
      <c r="F161" s="40"/>
      <c r="G161" s="40">
        <v>23.87</v>
      </c>
      <c r="H161" s="41">
        <f t="shared" si="49"/>
        <v>176.16</v>
      </c>
      <c r="I161" s="154" t="s">
        <v>85</v>
      </c>
      <c r="J161" s="62">
        <v>6</v>
      </c>
      <c r="K161" s="62"/>
      <c r="L161" s="62"/>
      <c r="M161" s="62"/>
      <c r="N161" s="62"/>
      <c r="O161" s="62"/>
      <c r="P161" s="62"/>
      <c r="Q161" s="62"/>
      <c r="R161" s="62"/>
      <c r="S161" s="62"/>
      <c r="T161" s="65">
        <f t="shared" si="50"/>
        <v>6</v>
      </c>
      <c r="U161" s="65">
        <f t="shared" si="51"/>
        <v>0</v>
      </c>
      <c r="V161" s="65">
        <f t="shared" si="52"/>
        <v>0</v>
      </c>
      <c r="W161" s="42">
        <f t="shared" si="53"/>
        <v>1</v>
      </c>
      <c r="X161" s="42">
        <f t="shared" si="54"/>
        <v>0</v>
      </c>
      <c r="Y161" s="43">
        <f t="shared" si="55"/>
        <v>1</v>
      </c>
      <c r="Z161" s="96">
        <f t="shared" si="56"/>
        <v>176.16</v>
      </c>
      <c r="AA161" s="96">
        <f>Q161*E161</f>
        <v>0</v>
      </c>
      <c r="AB161" s="96">
        <f t="shared" si="57"/>
        <v>176.16</v>
      </c>
      <c r="AC161" s="5"/>
    </row>
    <row r="162" spans="1:29">
      <c r="A162" s="182" t="s">
        <v>347</v>
      </c>
      <c r="B162" s="183" t="s">
        <v>348</v>
      </c>
      <c r="C162" s="182" t="s">
        <v>70</v>
      </c>
      <c r="D162" s="39">
        <v>8</v>
      </c>
      <c r="E162" s="40">
        <v>9.99</v>
      </c>
      <c r="F162" s="186"/>
      <c r="G162" s="40">
        <v>8.1199999999999992</v>
      </c>
      <c r="H162" s="41">
        <f t="shared" si="49"/>
        <v>79.92</v>
      </c>
      <c r="I162" s="187" t="s">
        <v>85</v>
      </c>
      <c r="J162" s="62">
        <v>8</v>
      </c>
      <c r="K162" s="62"/>
      <c r="L162" s="62"/>
      <c r="M162" s="62"/>
      <c r="N162" s="62"/>
      <c r="O162" s="62"/>
      <c r="P162" s="62"/>
      <c r="Q162" s="62"/>
      <c r="R162" s="62"/>
      <c r="S162" s="62"/>
      <c r="T162" s="65">
        <f t="shared" si="50"/>
        <v>8</v>
      </c>
      <c r="U162" s="65">
        <f t="shared" si="51"/>
        <v>0</v>
      </c>
      <c r="V162" s="65">
        <f t="shared" si="52"/>
        <v>0</v>
      </c>
      <c r="W162" s="42">
        <f t="shared" si="53"/>
        <v>1</v>
      </c>
      <c r="X162" s="42">
        <f t="shared" si="54"/>
        <v>0</v>
      </c>
      <c r="Y162" s="43">
        <f t="shared" si="55"/>
        <v>1</v>
      </c>
      <c r="Z162" s="96">
        <f t="shared" si="56"/>
        <v>79.92</v>
      </c>
      <c r="AA162" s="96">
        <f>Q162*E162</f>
        <v>0</v>
      </c>
      <c r="AB162" s="96">
        <f t="shared" si="57"/>
        <v>79.92</v>
      </c>
      <c r="AC162" s="5"/>
    </row>
    <row r="163" spans="1:29" s="87" customFormat="1">
      <c r="A163" s="37" t="s">
        <v>349</v>
      </c>
      <c r="B163" s="38" t="s">
        <v>350</v>
      </c>
      <c r="C163" s="61" t="s">
        <v>70</v>
      </c>
      <c r="D163" s="62">
        <v>9</v>
      </c>
      <c r="E163" s="63">
        <v>16.86</v>
      </c>
      <c r="F163" s="39">
        <f>U163</f>
        <v>9</v>
      </c>
      <c r="G163" s="63">
        <v>13.71</v>
      </c>
      <c r="H163" s="64">
        <f t="shared" si="49"/>
        <v>151.74</v>
      </c>
      <c r="I163" s="208" t="s">
        <v>351</v>
      </c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5">
        <f t="shared" si="50"/>
        <v>0</v>
      </c>
      <c r="U163" s="65">
        <f t="shared" si="51"/>
        <v>9</v>
      </c>
      <c r="V163" s="65">
        <f t="shared" si="52"/>
        <v>151.74</v>
      </c>
      <c r="W163" s="42">
        <f t="shared" si="53"/>
        <v>0</v>
      </c>
      <c r="X163" s="42">
        <f t="shared" si="54"/>
        <v>0</v>
      </c>
      <c r="Y163" s="43">
        <f t="shared" si="55"/>
        <v>0</v>
      </c>
      <c r="Z163" s="96">
        <f t="shared" si="56"/>
        <v>0</v>
      </c>
      <c r="AA163" s="96">
        <f>S163*G163</f>
        <v>0</v>
      </c>
      <c r="AB163" s="96">
        <f t="shared" si="57"/>
        <v>0</v>
      </c>
      <c r="AC163" s="5"/>
    </row>
    <row r="164" spans="1:29" s="87" customFormat="1">
      <c r="A164" s="192" t="s">
        <v>352</v>
      </c>
      <c r="B164" s="193" t="s">
        <v>353</v>
      </c>
      <c r="C164" s="194" t="s">
        <v>70</v>
      </c>
      <c r="D164" s="62">
        <v>1</v>
      </c>
      <c r="E164" s="63">
        <v>1434.2</v>
      </c>
      <c r="F164" s="195"/>
      <c r="G164" s="63">
        <v>1166.02</v>
      </c>
      <c r="H164" s="64">
        <f t="shared" si="49"/>
        <v>1434.2</v>
      </c>
      <c r="I164" s="196" t="s">
        <v>85</v>
      </c>
      <c r="J164" s="62"/>
      <c r="K164" s="62">
        <v>1</v>
      </c>
      <c r="L164" s="62"/>
      <c r="M164" s="62"/>
      <c r="N164" s="62"/>
      <c r="O164" s="62"/>
      <c r="P164" s="62"/>
      <c r="Q164" s="62"/>
      <c r="R164" s="62"/>
      <c r="S164" s="62"/>
      <c r="T164" s="65">
        <f t="shared" si="50"/>
        <v>1</v>
      </c>
      <c r="U164" s="65">
        <f t="shared" si="51"/>
        <v>0</v>
      </c>
      <c r="V164" s="65">
        <f t="shared" si="52"/>
        <v>0</v>
      </c>
      <c r="W164" s="42">
        <f t="shared" si="53"/>
        <v>1</v>
      </c>
      <c r="X164" s="42">
        <f t="shared" si="54"/>
        <v>0</v>
      </c>
      <c r="Y164" s="43">
        <f t="shared" si="55"/>
        <v>1</v>
      </c>
      <c r="Z164" s="96">
        <f t="shared" si="56"/>
        <v>1434.2</v>
      </c>
      <c r="AA164" s="96">
        <f t="shared" ref="AA164:AA169" si="58">Q164*E164</f>
        <v>0</v>
      </c>
      <c r="AB164" s="96">
        <f t="shared" si="57"/>
        <v>1434.2</v>
      </c>
      <c r="AC164" s="5"/>
    </row>
    <row r="165" spans="1:29">
      <c r="A165" s="37" t="s">
        <v>354</v>
      </c>
      <c r="B165" s="38" t="s">
        <v>355</v>
      </c>
      <c r="C165" s="37" t="s">
        <v>70</v>
      </c>
      <c r="D165" s="39">
        <v>1</v>
      </c>
      <c r="E165" s="40">
        <v>29.94</v>
      </c>
      <c r="F165" s="40"/>
      <c r="G165" s="40">
        <v>24.34</v>
      </c>
      <c r="H165" s="41">
        <f t="shared" si="49"/>
        <v>29.94</v>
      </c>
      <c r="I165" s="154" t="s">
        <v>85</v>
      </c>
      <c r="J165" s="62">
        <v>1</v>
      </c>
      <c r="K165" s="62"/>
      <c r="L165" s="62"/>
      <c r="M165" s="62"/>
      <c r="N165" s="62"/>
      <c r="O165" s="62"/>
      <c r="P165" s="62"/>
      <c r="Q165" s="62"/>
      <c r="R165" s="62"/>
      <c r="S165" s="62"/>
      <c r="T165" s="65">
        <f t="shared" si="50"/>
        <v>1</v>
      </c>
      <c r="U165" s="65">
        <f t="shared" si="51"/>
        <v>0</v>
      </c>
      <c r="V165" s="65">
        <f t="shared" si="52"/>
        <v>0</v>
      </c>
      <c r="W165" s="42">
        <f t="shared" si="53"/>
        <v>1</v>
      </c>
      <c r="X165" s="42">
        <f t="shared" si="54"/>
        <v>0</v>
      </c>
      <c r="Y165" s="43">
        <f t="shared" si="55"/>
        <v>1</v>
      </c>
      <c r="Z165" s="96">
        <f t="shared" si="56"/>
        <v>29.94</v>
      </c>
      <c r="AA165" s="96">
        <f t="shared" si="58"/>
        <v>0</v>
      </c>
      <c r="AB165" s="96">
        <f t="shared" si="57"/>
        <v>29.94</v>
      </c>
      <c r="AC165" s="5"/>
    </row>
    <row r="166" spans="1:29">
      <c r="A166" s="37" t="s">
        <v>356</v>
      </c>
      <c r="B166" s="38" t="s">
        <v>357</v>
      </c>
      <c r="C166" s="37" t="s">
        <v>189</v>
      </c>
      <c r="D166" s="39">
        <v>3</v>
      </c>
      <c r="E166" s="40">
        <v>16.05</v>
      </c>
      <c r="F166" s="40"/>
      <c r="G166" s="40">
        <v>13.05</v>
      </c>
      <c r="H166" s="41">
        <f t="shared" si="49"/>
        <v>48.15</v>
      </c>
      <c r="I166" s="154" t="s">
        <v>85</v>
      </c>
      <c r="J166" s="62">
        <v>3</v>
      </c>
      <c r="K166" s="62"/>
      <c r="L166" s="62"/>
      <c r="M166" s="62"/>
      <c r="N166" s="62"/>
      <c r="O166" s="62"/>
      <c r="P166" s="62"/>
      <c r="Q166" s="62"/>
      <c r="R166" s="62"/>
      <c r="S166" s="62"/>
      <c r="T166" s="65">
        <f t="shared" si="50"/>
        <v>3</v>
      </c>
      <c r="U166" s="65">
        <f t="shared" si="51"/>
        <v>0</v>
      </c>
      <c r="V166" s="65">
        <f t="shared" si="52"/>
        <v>0</v>
      </c>
      <c r="W166" s="42">
        <f t="shared" si="53"/>
        <v>1</v>
      </c>
      <c r="X166" s="42">
        <f t="shared" si="54"/>
        <v>0</v>
      </c>
      <c r="Y166" s="43">
        <f t="shared" si="55"/>
        <v>1</v>
      </c>
      <c r="Z166" s="96">
        <f t="shared" si="56"/>
        <v>48.150000000000006</v>
      </c>
      <c r="AA166" s="96">
        <f t="shared" si="58"/>
        <v>0</v>
      </c>
      <c r="AB166" s="96">
        <f t="shared" si="57"/>
        <v>48.150000000000006</v>
      </c>
      <c r="AC166" s="5"/>
    </row>
    <row r="167" spans="1:29">
      <c r="A167" s="37" t="s">
        <v>358</v>
      </c>
      <c r="B167" s="38" t="s">
        <v>359</v>
      </c>
      <c r="C167" s="37" t="s">
        <v>189</v>
      </c>
      <c r="D167" s="39">
        <v>35</v>
      </c>
      <c r="E167" s="40">
        <v>29.05</v>
      </c>
      <c r="F167" s="40"/>
      <c r="G167" s="40">
        <v>23.62</v>
      </c>
      <c r="H167" s="41">
        <f t="shared" si="49"/>
        <v>1016.75</v>
      </c>
      <c r="I167" s="154" t="s">
        <v>85</v>
      </c>
      <c r="J167" s="62">
        <v>35</v>
      </c>
      <c r="K167" s="62"/>
      <c r="L167" s="62"/>
      <c r="M167" s="62"/>
      <c r="N167" s="62"/>
      <c r="O167" s="62"/>
      <c r="P167" s="62"/>
      <c r="Q167" s="62"/>
      <c r="R167" s="62"/>
      <c r="S167" s="62"/>
      <c r="T167" s="65">
        <f t="shared" si="50"/>
        <v>35</v>
      </c>
      <c r="U167" s="65">
        <f t="shared" si="51"/>
        <v>0</v>
      </c>
      <c r="V167" s="65">
        <f t="shared" si="52"/>
        <v>0</v>
      </c>
      <c r="W167" s="42">
        <f t="shared" si="53"/>
        <v>1</v>
      </c>
      <c r="X167" s="42">
        <f t="shared" si="54"/>
        <v>0</v>
      </c>
      <c r="Y167" s="43">
        <f t="shared" si="55"/>
        <v>1</v>
      </c>
      <c r="Z167" s="96">
        <f t="shared" si="56"/>
        <v>1016.75</v>
      </c>
      <c r="AA167" s="96">
        <f t="shared" si="58"/>
        <v>0</v>
      </c>
      <c r="AB167" s="96">
        <f t="shared" si="57"/>
        <v>1016.75</v>
      </c>
      <c r="AC167" s="5"/>
    </row>
    <row r="168" spans="1:29">
      <c r="A168" s="37" t="s">
        <v>360</v>
      </c>
      <c r="B168" s="38" t="s">
        <v>361</v>
      </c>
      <c r="C168" s="37" t="s">
        <v>189</v>
      </c>
      <c r="D168" s="39">
        <v>20</v>
      </c>
      <c r="E168" s="40">
        <v>11.78</v>
      </c>
      <c r="F168" s="40"/>
      <c r="G168" s="40">
        <v>9.58</v>
      </c>
      <c r="H168" s="41">
        <f t="shared" si="49"/>
        <v>235.6</v>
      </c>
      <c r="I168" s="154" t="s">
        <v>85</v>
      </c>
      <c r="J168" s="62">
        <v>20</v>
      </c>
      <c r="K168" s="62"/>
      <c r="L168" s="62"/>
      <c r="M168" s="62"/>
      <c r="N168" s="62"/>
      <c r="O168" s="62"/>
      <c r="P168" s="62"/>
      <c r="Q168" s="62"/>
      <c r="R168" s="62"/>
      <c r="S168" s="62"/>
      <c r="T168" s="65">
        <f t="shared" si="50"/>
        <v>20</v>
      </c>
      <c r="U168" s="65">
        <f t="shared" si="51"/>
        <v>0</v>
      </c>
      <c r="V168" s="65">
        <f t="shared" si="52"/>
        <v>0</v>
      </c>
      <c r="W168" s="42">
        <f t="shared" si="53"/>
        <v>1</v>
      </c>
      <c r="X168" s="42">
        <f t="shared" si="54"/>
        <v>0</v>
      </c>
      <c r="Y168" s="43">
        <f t="shared" si="55"/>
        <v>1</v>
      </c>
      <c r="Z168" s="96">
        <f t="shared" si="56"/>
        <v>235.6</v>
      </c>
      <c r="AA168" s="96">
        <f t="shared" si="58"/>
        <v>0</v>
      </c>
      <c r="AB168" s="96">
        <f t="shared" si="57"/>
        <v>235.6</v>
      </c>
      <c r="AC168" s="5"/>
    </row>
    <row r="169" spans="1:29">
      <c r="A169" s="182" t="s">
        <v>362</v>
      </c>
      <c r="B169" s="183" t="s">
        <v>363</v>
      </c>
      <c r="C169" s="182" t="s">
        <v>189</v>
      </c>
      <c r="D169" s="39">
        <v>17</v>
      </c>
      <c r="E169" s="40">
        <v>16.59</v>
      </c>
      <c r="F169" s="186"/>
      <c r="G169" s="40">
        <v>13.49</v>
      </c>
      <c r="H169" s="41">
        <f t="shared" si="49"/>
        <v>282.02999999999997</v>
      </c>
      <c r="I169" s="187" t="s">
        <v>85</v>
      </c>
      <c r="J169" s="62">
        <v>17</v>
      </c>
      <c r="K169" s="62"/>
      <c r="L169" s="62"/>
      <c r="M169" s="62"/>
      <c r="N169" s="62"/>
      <c r="O169" s="62"/>
      <c r="P169" s="62"/>
      <c r="Q169" s="62"/>
      <c r="R169" s="62"/>
      <c r="S169" s="62"/>
      <c r="T169" s="65">
        <f t="shared" si="50"/>
        <v>17</v>
      </c>
      <c r="U169" s="65">
        <f t="shared" si="51"/>
        <v>0</v>
      </c>
      <c r="V169" s="65">
        <f t="shared" si="52"/>
        <v>0</v>
      </c>
      <c r="W169" s="42">
        <f t="shared" si="53"/>
        <v>1</v>
      </c>
      <c r="X169" s="42">
        <f t="shared" si="54"/>
        <v>0</v>
      </c>
      <c r="Y169" s="43">
        <f t="shared" si="55"/>
        <v>1</v>
      </c>
      <c r="Z169" s="96">
        <f t="shared" si="56"/>
        <v>282.02999999999997</v>
      </c>
      <c r="AA169" s="96">
        <f t="shared" si="58"/>
        <v>0</v>
      </c>
      <c r="AB169" s="96">
        <f t="shared" si="57"/>
        <v>282.02999999999997</v>
      </c>
      <c r="AC169" s="5"/>
    </row>
    <row r="170" spans="1:29" s="87" customFormat="1">
      <c r="A170" s="37" t="s">
        <v>364</v>
      </c>
      <c r="B170" s="38" t="s">
        <v>365</v>
      </c>
      <c r="C170" s="61" t="s">
        <v>70</v>
      </c>
      <c r="D170" s="62">
        <v>9</v>
      </c>
      <c r="E170" s="63">
        <v>15.45</v>
      </c>
      <c r="F170" s="39">
        <f>U170</f>
        <v>9</v>
      </c>
      <c r="G170" s="63">
        <v>12.56</v>
      </c>
      <c r="H170" s="64">
        <f t="shared" si="49"/>
        <v>139.05000000000001</v>
      </c>
      <c r="I170" s="155" t="s">
        <v>85</v>
      </c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5">
        <f t="shared" si="50"/>
        <v>0</v>
      </c>
      <c r="U170" s="65">
        <f t="shared" si="51"/>
        <v>9</v>
      </c>
      <c r="V170" s="65">
        <f t="shared" si="52"/>
        <v>139.04999999999998</v>
      </c>
      <c r="W170" s="42">
        <f t="shared" si="53"/>
        <v>0</v>
      </c>
      <c r="X170" s="42">
        <f t="shared" si="54"/>
        <v>0</v>
      </c>
      <c r="Y170" s="43">
        <f t="shared" si="55"/>
        <v>0</v>
      </c>
      <c r="Z170" s="96">
        <f t="shared" si="56"/>
        <v>0</v>
      </c>
      <c r="AA170" s="96">
        <f>S170*G170</f>
        <v>0</v>
      </c>
      <c r="AB170" s="96">
        <f t="shared" si="57"/>
        <v>0</v>
      </c>
      <c r="AC170" s="5"/>
    </row>
    <row r="171" spans="1:29" s="87" customFormat="1">
      <c r="A171" s="202"/>
      <c r="B171" s="202"/>
      <c r="C171" s="202"/>
      <c r="D171" s="58"/>
      <c r="E171" s="63"/>
      <c r="F171" s="190"/>
      <c r="G171" s="63">
        <v>0</v>
      </c>
      <c r="H171" s="59"/>
      <c r="I171" s="204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65">
        <f t="shared" si="50"/>
        <v>0</v>
      </c>
      <c r="U171" s="79"/>
      <c r="V171" s="65">
        <f t="shared" si="52"/>
        <v>0</v>
      </c>
      <c r="W171" s="42">
        <v>0</v>
      </c>
      <c r="X171" s="42">
        <f t="shared" si="54"/>
        <v>0</v>
      </c>
      <c r="Y171" s="43">
        <f t="shared" si="55"/>
        <v>0</v>
      </c>
      <c r="Z171" s="96">
        <f>(J171+K171+L171+M171)*E171</f>
        <v>0</v>
      </c>
      <c r="AA171" s="96">
        <f>Q171*E171</f>
        <v>0</v>
      </c>
      <c r="AB171" s="96">
        <f>(J171+K171+L171+M171+N171)*E171</f>
        <v>0</v>
      </c>
    </row>
    <row r="172" spans="1:29" s="89" customFormat="1">
      <c r="A172" s="53">
        <v>13</v>
      </c>
      <c r="B172" s="31" t="s">
        <v>366</v>
      </c>
      <c r="C172" s="32"/>
      <c r="D172" s="66"/>
      <c r="E172" s="67">
        <v>0</v>
      </c>
      <c r="F172" s="67"/>
      <c r="G172" s="67">
        <v>0</v>
      </c>
      <c r="H172" s="68">
        <f>SUM(H173:H177)</f>
        <v>18102.2</v>
      </c>
      <c r="I172" s="162"/>
      <c r="J172" s="60"/>
      <c r="K172" s="60"/>
      <c r="L172" s="103"/>
      <c r="M172" s="60"/>
      <c r="N172" s="60"/>
      <c r="O172" s="60"/>
      <c r="P172" s="60"/>
      <c r="Q172" s="60"/>
      <c r="R172" s="103"/>
      <c r="S172" s="60"/>
      <c r="T172" s="60"/>
      <c r="U172" s="60"/>
      <c r="V172" s="68" t="e">
        <f>SUM(V173:V177)</f>
        <v>#REF!</v>
      </c>
      <c r="W172" s="60"/>
      <c r="X172" s="140"/>
      <c r="Y172" s="76">
        <f>J172</f>
        <v>0</v>
      </c>
      <c r="Z172" s="68">
        <f>SUM(Z173:Z177)</f>
        <v>1487.44</v>
      </c>
      <c r="AA172" s="68" t="e">
        <f>SUM(AA173:AA177)</f>
        <v>#REF!</v>
      </c>
      <c r="AB172" s="68">
        <f>SUM(AB173:AB177)</f>
        <v>1487.44</v>
      </c>
      <c r="AC172" s="1"/>
    </row>
    <row r="173" spans="1:29" s="87" customFormat="1">
      <c r="A173" s="37" t="s">
        <v>367</v>
      </c>
      <c r="B173" s="38" t="s">
        <v>368</v>
      </c>
      <c r="C173" s="61" t="s">
        <v>189</v>
      </c>
      <c r="D173" s="62">
        <v>72</v>
      </c>
      <c r="E173" s="63">
        <v>37.28</v>
      </c>
      <c r="F173" s="39">
        <f>U173</f>
        <v>72</v>
      </c>
      <c r="G173" s="63">
        <v>30.31</v>
      </c>
      <c r="H173" s="64">
        <f>ROUND(D173*E173,2)</f>
        <v>2684.16</v>
      </c>
      <c r="I173" s="208" t="s">
        <v>369</v>
      </c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>
        <f t="shared" ref="T173:T178" si="59">SUM(J173:S173)</f>
        <v>0</v>
      </c>
      <c r="U173" s="65">
        <f>D173-T173</f>
        <v>72</v>
      </c>
      <c r="V173" s="65">
        <f t="shared" ref="V173:V178" si="60">U173*E173</f>
        <v>2684.16</v>
      </c>
      <c r="W173" s="42">
        <f>(SUM(J173:R173))/D173</f>
        <v>0</v>
      </c>
      <c r="X173" s="42">
        <f t="shared" ref="X173:X178" si="61">IF(D173=0,0,S173/D173)</f>
        <v>0</v>
      </c>
      <c r="Y173" s="43">
        <f t="shared" ref="Y173:Y178" si="62">W173+X173</f>
        <v>0</v>
      </c>
      <c r="Z173" s="96">
        <f>(J173+K173+L173+M173+N173)*E173</f>
        <v>0</v>
      </c>
      <c r="AA173" s="96">
        <f>S173*G173</f>
        <v>0</v>
      </c>
      <c r="AB173" s="96">
        <f>(J173+K173+L173+M173+N173+O173)*E173</f>
        <v>0</v>
      </c>
      <c r="AC173" s="5"/>
    </row>
    <row r="174" spans="1:29" s="87" customFormat="1">
      <c r="A174" s="192" t="s">
        <v>370</v>
      </c>
      <c r="B174" s="193" t="s">
        <v>371</v>
      </c>
      <c r="C174" s="194" t="s">
        <v>189</v>
      </c>
      <c r="D174" s="62">
        <v>20</v>
      </c>
      <c r="E174" s="63">
        <v>59.72</v>
      </c>
      <c r="F174" s="195"/>
      <c r="G174" s="63">
        <v>48.55</v>
      </c>
      <c r="H174" s="64">
        <f>ROUND(D174*E174,2)</f>
        <v>1194.4000000000001</v>
      </c>
      <c r="I174" s="196" t="s">
        <v>85</v>
      </c>
      <c r="J174" s="65"/>
      <c r="K174" s="65">
        <v>20</v>
      </c>
      <c r="L174" s="65"/>
      <c r="M174" s="65"/>
      <c r="N174" s="65"/>
      <c r="O174" s="65"/>
      <c r="P174" s="65"/>
      <c r="Q174" s="65"/>
      <c r="R174" s="65"/>
      <c r="S174" s="65"/>
      <c r="T174" s="65">
        <f t="shared" si="59"/>
        <v>20</v>
      </c>
      <c r="U174" s="65">
        <f>D174-T174</f>
        <v>0</v>
      </c>
      <c r="V174" s="65">
        <f t="shared" si="60"/>
        <v>0</v>
      </c>
      <c r="W174" s="42">
        <f>(SUM(J174:R174))/D174</f>
        <v>1</v>
      </c>
      <c r="X174" s="42">
        <f t="shared" si="61"/>
        <v>0</v>
      </c>
      <c r="Y174" s="43">
        <f t="shared" si="62"/>
        <v>1</v>
      </c>
      <c r="Z174" s="96">
        <f>(J174+K174+L174+M174+N174)*E174</f>
        <v>1194.4000000000001</v>
      </c>
      <c r="AA174" s="96">
        <f>Q174*E174</f>
        <v>0</v>
      </c>
      <c r="AB174" s="96">
        <f>(J174+K174+L174+M174+N174+O174)*E174</f>
        <v>1194.4000000000001</v>
      </c>
      <c r="AC174" s="5"/>
    </row>
    <row r="175" spans="1:29" s="87" customFormat="1">
      <c r="A175" s="182" t="s">
        <v>372</v>
      </c>
      <c r="B175" s="183" t="s">
        <v>373</v>
      </c>
      <c r="C175" s="184" t="s">
        <v>189</v>
      </c>
      <c r="D175" s="62">
        <v>4</v>
      </c>
      <c r="E175" s="63">
        <v>73.260000000000005</v>
      </c>
      <c r="F175" s="180"/>
      <c r="G175" s="63">
        <v>59.56</v>
      </c>
      <c r="H175" s="64">
        <f>ROUND(D175*E175,2)</f>
        <v>293.04000000000002</v>
      </c>
      <c r="I175" s="185" t="s">
        <v>85</v>
      </c>
      <c r="J175" s="65"/>
      <c r="K175" s="65">
        <v>4</v>
      </c>
      <c r="L175" s="65"/>
      <c r="M175" s="65"/>
      <c r="N175" s="65"/>
      <c r="O175" s="65"/>
      <c r="P175" s="65"/>
      <c r="Q175" s="65"/>
      <c r="R175" s="65"/>
      <c r="S175" s="65"/>
      <c r="T175" s="65">
        <f t="shared" si="59"/>
        <v>4</v>
      </c>
      <c r="U175" s="65">
        <f>D175-T175</f>
        <v>0</v>
      </c>
      <c r="V175" s="65">
        <f t="shared" si="60"/>
        <v>0</v>
      </c>
      <c r="W175" s="42">
        <f>(SUM(J175:R175))/D175</f>
        <v>1</v>
      </c>
      <c r="X175" s="42">
        <f t="shared" si="61"/>
        <v>0</v>
      </c>
      <c r="Y175" s="43">
        <f t="shared" si="62"/>
        <v>1</v>
      </c>
      <c r="Z175" s="96">
        <f>(J175+K175+L175+M175+N175)*E175</f>
        <v>293.04000000000002</v>
      </c>
      <c r="AA175" s="96">
        <f>Q175*E175</f>
        <v>0</v>
      </c>
      <c r="AB175" s="96">
        <f>(J175+K175+L175+M175+N175+O175)*E175</f>
        <v>293.04000000000002</v>
      </c>
      <c r="AC175" s="5"/>
    </row>
    <row r="176" spans="1:29" s="87" customFormat="1" ht="25.5">
      <c r="A176" s="37" t="s">
        <v>374</v>
      </c>
      <c r="B176" s="38" t="s">
        <v>375</v>
      </c>
      <c r="C176" s="61" t="s">
        <v>70</v>
      </c>
      <c r="D176" s="62">
        <v>4</v>
      </c>
      <c r="E176" s="63">
        <v>31.51</v>
      </c>
      <c r="F176" s="39">
        <f>U176</f>
        <v>4</v>
      </c>
      <c r="G176" s="63">
        <v>25.62</v>
      </c>
      <c r="H176" s="64">
        <f>ROUND(D176*E176,2)</f>
        <v>126.04</v>
      </c>
      <c r="I176" s="208" t="s">
        <v>376</v>
      </c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>
        <f t="shared" si="59"/>
        <v>0</v>
      </c>
      <c r="U176" s="65">
        <f>D176-T176</f>
        <v>4</v>
      </c>
      <c r="V176" s="65">
        <f t="shared" si="60"/>
        <v>126.04</v>
      </c>
      <c r="W176" s="42">
        <f>(SUM(J176:R176))/D176</f>
        <v>0</v>
      </c>
      <c r="X176" s="42">
        <f t="shared" si="61"/>
        <v>0</v>
      </c>
      <c r="Y176" s="43">
        <f t="shared" si="62"/>
        <v>0</v>
      </c>
      <c r="Z176" s="96">
        <f>(J176+K176+L176+M176+N176)*E176</f>
        <v>0</v>
      </c>
      <c r="AA176" s="96">
        <f>S176*G176</f>
        <v>0</v>
      </c>
      <c r="AB176" s="96">
        <f>(J176+K176+L176+M176+N176+O176)*E176</f>
        <v>0</v>
      </c>
      <c r="AC176" s="5"/>
    </row>
    <row r="177" spans="1:29" s="87" customFormat="1" ht="25.5">
      <c r="A177" s="37" t="s">
        <v>377</v>
      </c>
      <c r="B177" s="38" t="s">
        <v>378</v>
      </c>
      <c r="C177" s="61" t="s">
        <v>189</v>
      </c>
      <c r="D177" s="62">
        <v>72</v>
      </c>
      <c r="E177" s="63">
        <v>191.73</v>
      </c>
      <c r="F177" s="39" t="e">
        <f>U177</f>
        <v>#REF!</v>
      </c>
      <c r="G177" s="63">
        <v>155.88</v>
      </c>
      <c r="H177" s="64">
        <f>ROUND(D177*E177,2)</f>
        <v>13804.56</v>
      </c>
      <c r="I177" s="208" t="s">
        <v>379</v>
      </c>
      <c r="J177" s="65"/>
      <c r="K177" s="65"/>
      <c r="L177" s="65"/>
      <c r="M177" s="65"/>
      <c r="N177" s="65"/>
      <c r="O177" s="65"/>
      <c r="P177" s="65"/>
      <c r="Q177" s="65"/>
      <c r="R177" s="65"/>
      <c r="S177" s="65" t="e">
        <f>#REF!</f>
        <v>#REF!</v>
      </c>
      <c r="T177" s="65" t="e">
        <f t="shared" si="59"/>
        <v>#REF!</v>
      </c>
      <c r="U177" s="65" t="e">
        <f>D177-T177</f>
        <v>#REF!</v>
      </c>
      <c r="V177" s="65" t="e">
        <f t="shared" si="60"/>
        <v>#REF!</v>
      </c>
      <c r="W177" s="42">
        <f>(SUM(J177:R177))/D177</f>
        <v>0</v>
      </c>
      <c r="X177" s="42" t="e">
        <f t="shared" si="61"/>
        <v>#REF!</v>
      </c>
      <c r="Y177" s="43" t="e">
        <f t="shared" si="62"/>
        <v>#REF!</v>
      </c>
      <c r="Z177" s="96">
        <f>(J177+K177+L177+M177+N177)*E177</f>
        <v>0</v>
      </c>
      <c r="AA177" s="96" t="e">
        <f>S177*G177</f>
        <v>#REF!</v>
      </c>
      <c r="AB177" s="96">
        <f>(J177+K177+L177+M177+N177+O177)*E177</f>
        <v>0</v>
      </c>
      <c r="AC177" s="5"/>
    </row>
    <row r="178" spans="1:29" s="87" customFormat="1">
      <c r="A178" s="202"/>
      <c r="B178" s="202"/>
      <c r="C178" s="202"/>
      <c r="D178" s="58"/>
      <c r="E178" s="63"/>
      <c r="F178" s="190"/>
      <c r="G178" s="63">
        <v>0</v>
      </c>
      <c r="H178" s="59"/>
      <c r="I178" s="204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65">
        <f t="shared" si="59"/>
        <v>0</v>
      </c>
      <c r="U178" s="79"/>
      <c r="V178" s="65">
        <f t="shared" si="60"/>
        <v>0</v>
      </c>
      <c r="W178" s="42">
        <v>0</v>
      </c>
      <c r="X178" s="42">
        <f t="shared" si="61"/>
        <v>0</v>
      </c>
      <c r="Y178" s="43">
        <f t="shared" si="62"/>
        <v>0</v>
      </c>
      <c r="Z178" s="96">
        <f>(J178+K178+L178+M178)*E178</f>
        <v>0</v>
      </c>
      <c r="AA178" s="96">
        <f>Q178*E178</f>
        <v>0</v>
      </c>
      <c r="AB178" s="96">
        <f>(J178+K178+L178+M178+N178)*E178</f>
        <v>0</v>
      </c>
    </row>
    <row r="179" spans="1:29" s="88" customFormat="1">
      <c r="A179" s="53">
        <v>14</v>
      </c>
      <c r="B179" s="31" t="s">
        <v>380</v>
      </c>
      <c r="C179" s="32"/>
      <c r="D179" s="33"/>
      <c r="E179" s="34">
        <v>0</v>
      </c>
      <c r="F179" s="34"/>
      <c r="G179" s="34">
        <v>0</v>
      </c>
      <c r="H179" s="46">
        <f>SUM(H180:H209)</f>
        <v>24110.28</v>
      </c>
      <c r="I179" s="48"/>
      <c r="J179" s="80"/>
      <c r="K179" s="80"/>
      <c r="L179" s="105"/>
      <c r="M179" s="80"/>
      <c r="N179" s="80"/>
      <c r="O179" s="80"/>
      <c r="P179" s="80"/>
      <c r="Q179" s="80"/>
      <c r="R179" s="105"/>
      <c r="S179" s="80"/>
      <c r="T179" s="80"/>
      <c r="U179" s="80"/>
      <c r="V179" s="46" t="e">
        <f>SUM(V180:V209)</f>
        <v>#REF!</v>
      </c>
      <c r="W179" s="47"/>
      <c r="X179" s="140"/>
      <c r="Y179" s="47"/>
      <c r="Z179" s="46">
        <f>SUM(Z180:Z209)</f>
        <v>4211.92</v>
      </c>
      <c r="AA179" s="46" t="e">
        <f>SUM(AA180:AA209)</f>
        <v>#REF!</v>
      </c>
      <c r="AB179" s="46">
        <f>SUM(AB180:AB209)</f>
        <v>4211.92</v>
      </c>
      <c r="AC179" s="1"/>
    </row>
    <row r="180" spans="1:29" s="87" customFormat="1" ht="25.5">
      <c r="A180" s="37" t="s">
        <v>381</v>
      </c>
      <c r="B180" s="38" t="s">
        <v>382</v>
      </c>
      <c r="C180" s="61" t="s">
        <v>70</v>
      </c>
      <c r="D180" s="62">
        <v>5</v>
      </c>
      <c r="E180" s="63">
        <v>16.170000000000002</v>
      </c>
      <c r="F180" s="39">
        <f>U180</f>
        <v>5</v>
      </c>
      <c r="G180" s="63">
        <v>13.15</v>
      </c>
      <c r="H180" s="64">
        <f t="shared" ref="H180:H209" si="63">ROUND(D180*E180,2)</f>
        <v>80.849999999999994</v>
      </c>
      <c r="I180" s="208" t="s">
        <v>383</v>
      </c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5">
        <f t="shared" ref="T180:T210" si="64">SUM(J180:S180)</f>
        <v>0</v>
      </c>
      <c r="U180" s="65">
        <f t="shared" ref="U180:U209" si="65">D180-T180</f>
        <v>5</v>
      </c>
      <c r="V180" s="65">
        <f t="shared" ref="V180:V210" si="66">U180*E180</f>
        <v>80.850000000000009</v>
      </c>
      <c r="W180" s="42">
        <f t="shared" ref="W180:W209" si="67">(SUM(J180:R180))/D180</f>
        <v>0</v>
      </c>
      <c r="X180" s="42">
        <f t="shared" ref="X180:X210" si="68">IF(D180=0,0,S180/D180)</f>
        <v>0</v>
      </c>
      <c r="Y180" s="43">
        <f t="shared" ref="Y180:Y210" si="69">W180+X180</f>
        <v>0</v>
      </c>
      <c r="Z180" s="96">
        <f t="shared" ref="Z180:Z209" si="70">(J180+K180+L180+M180+N180)*E180</f>
        <v>0</v>
      </c>
      <c r="AA180" s="96">
        <f>S180*G180</f>
        <v>0</v>
      </c>
      <c r="AB180" s="96">
        <f t="shared" ref="AB180:AB209" si="71">(J180+K180+L180+M180+N180+O180)*E180</f>
        <v>0</v>
      </c>
      <c r="AC180" s="5"/>
    </row>
    <row r="181" spans="1:29" s="87" customFormat="1" ht="25.5">
      <c r="A181" s="37" t="s">
        <v>384</v>
      </c>
      <c r="B181" s="38" t="s">
        <v>385</v>
      </c>
      <c r="C181" s="61" t="s">
        <v>70</v>
      </c>
      <c r="D181" s="62">
        <v>5</v>
      </c>
      <c r="E181" s="63">
        <v>13.86</v>
      </c>
      <c r="F181" s="39">
        <f>U181</f>
        <v>5</v>
      </c>
      <c r="G181" s="63">
        <v>11.27</v>
      </c>
      <c r="H181" s="64">
        <f t="shared" si="63"/>
        <v>69.3</v>
      </c>
      <c r="I181" s="208" t="s">
        <v>386</v>
      </c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5">
        <f t="shared" si="64"/>
        <v>0</v>
      </c>
      <c r="U181" s="65">
        <f t="shared" si="65"/>
        <v>5</v>
      </c>
      <c r="V181" s="65">
        <f t="shared" si="66"/>
        <v>69.3</v>
      </c>
      <c r="W181" s="42">
        <f t="shared" si="67"/>
        <v>0</v>
      </c>
      <c r="X181" s="42">
        <f t="shared" si="68"/>
        <v>0</v>
      </c>
      <c r="Y181" s="43">
        <f t="shared" si="69"/>
        <v>0</v>
      </c>
      <c r="Z181" s="96">
        <f t="shared" si="70"/>
        <v>0</v>
      </c>
      <c r="AA181" s="96">
        <f>S181*G181</f>
        <v>0</v>
      </c>
      <c r="AB181" s="96">
        <f t="shared" si="71"/>
        <v>0</v>
      </c>
      <c r="AC181" s="5"/>
    </row>
    <row r="182" spans="1:29" s="87" customFormat="1" ht="25.5">
      <c r="A182" s="37" t="s">
        <v>387</v>
      </c>
      <c r="B182" s="38" t="s">
        <v>388</v>
      </c>
      <c r="C182" s="61" t="s">
        <v>70</v>
      </c>
      <c r="D182" s="62">
        <v>4</v>
      </c>
      <c r="E182" s="63">
        <v>16.78</v>
      </c>
      <c r="F182" s="39">
        <f>U182</f>
        <v>4</v>
      </c>
      <c r="G182" s="63">
        <v>13.64</v>
      </c>
      <c r="H182" s="64">
        <f t="shared" si="63"/>
        <v>67.12</v>
      </c>
      <c r="I182" s="155" t="s">
        <v>85</v>
      </c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5">
        <f t="shared" si="64"/>
        <v>0</v>
      </c>
      <c r="U182" s="65">
        <f t="shared" si="65"/>
        <v>4</v>
      </c>
      <c r="V182" s="65">
        <f t="shared" si="66"/>
        <v>67.12</v>
      </c>
      <c r="W182" s="42">
        <f t="shared" si="67"/>
        <v>0</v>
      </c>
      <c r="X182" s="42">
        <f t="shared" si="68"/>
        <v>0</v>
      </c>
      <c r="Y182" s="43">
        <f t="shared" si="69"/>
        <v>0</v>
      </c>
      <c r="Z182" s="96">
        <f t="shared" si="70"/>
        <v>0</v>
      </c>
      <c r="AA182" s="96">
        <f>S182*G182</f>
        <v>0</v>
      </c>
      <c r="AB182" s="96">
        <f t="shared" si="71"/>
        <v>0</v>
      </c>
      <c r="AC182" s="5"/>
    </row>
    <row r="183" spans="1:29" s="87" customFormat="1" ht="25.5">
      <c r="A183" s="37" t="s">
        <v>389</v>
      </c>
      <c r="B183" s="38" t="s">
        <v>390</v>
      </c>
      <c r="C183" s="61" t="s">
        <v>70</v>
      </c>
      <c r="D183" s="62">
        <v>1</v>
      </c>
      <c r="E183" s="63">
        <v>16.8</v>
      </c>
      <c r="F183" s="39">
        <f>U183</f>
        <v>1</v>
      </c>
      <c r="G183" s="63">
        <v>13.66</v>
      </c>
      <c r="H183" s="64">
        <f t="shared" si="63"/>
        <v>16.8</v>
      </c>
      <c r="I183" s="208" t="s">
        <v>391</v>
      </c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5">
        <f t="shared" si="64"/>
        <v>0</v>
      </c>
      <c r="U183" s="65">
        <f t="shared" si="65"/>
        <v>1</v>
      </c>
      <c r="V183" s="65">
        <f t="shared" si="66"/>
        <v>16.8</v>
      </c>
      <c r="W183" s="42">
        <f t="shared" si="67"/>
        <v>0</v>
      </c>
      <c r="X183" s="42">
        <f t="shared" si="68"/>
        <v>0</v>
      </c>
      <c r="Y183" s="43">
        <f t="shared" si="69"/>
        <v>0</v>
      </c>
      <c r="Z183" s="96">
        <f t="shared" si="70"/>
        <v>0</v>
      </c>
      <c r="AA183" s="96">
        <f>S183*G183</f>
        <v>0</v>
      </c>
      <c r="AB183" s="96">
        <f t="shared" si="71"/>
        <v>0</v>
      </c>
      <c r="AC183" s="5"/>
    </row>
    <row r="184" spans="1:29" s="87" customFormat="1">
      <c r="A184" s="37" t="s">
        <v>392</v>
      </c>
      <c r="B184" s="38" t="s">
        <v>393</v>
      </c>
      <c r="C184" s="61" t="s">
        <v>70</v>
      </c>
      <c r="D184" s="62">
        <v>16</v>
      </c>
      <c r="E184" s="63">
        <v>9.41</v>
      </c>
      <c r="F184" s="39">
        <f>U184</f>
        <v>16</v>
      </c>
      <c r="G184" s="63">
        <v>7.65</v>
      </c>
      <c r="H184" s="64">
        <f t="shared" si="63"/>
        <v>150.56</v>
      </c>
      <c r="I184" s="209" t="s">
        <v>394</v>
      </c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5">
        <f t="shared" si="64"/>
        <v>0</v>
      </c>
      <c r="U184" s="65">
        <f t="shared" si="65"/>
        <v>16</v>
      </c>
      <c r="V184" s="65">
        <f t="shared" si="66"/>
        <v>150.56</v>
      </c>
      <c r="W184" s="42">
        <f t="shared" si="67"/>
        <v>0</v>
      </c>
      <c r="X184" s="42">
        <f t="shared" si="68"/>
        <v>0</v>
      </c>
      <c r="Y184" s="43">
        <f t="shared" si="69"/>
        <v>0</v>
      </c>
      <c r="Z184" s="96">
        <f t="shared" si="70"/>
        <v>0</v>
      </c>
      <c r="AA184" s="96">
        <f>S184*G184</f>
        <v>0</v>
      </c>
      <c r="AB184" s="96">
        <f t="shared" si="71"/>
        <v>0</v>
      </c>
      <c r="AC184" s="5"/>
    </row>
    <row r="185" spans="1:29">
      <c r="A185" s="130" t="s">
        <v>395</v>
      </c>
      <c r="B185" s="188" t="s">
        <v>396</v>
      </c>
      <c r="C185" s="130" t="s">
        <v>70</v>
      </c>
      <c r="D185" s="39">
        <v>7</v>
      </c>
      <c r="E185" s="40">
        <v>9.25</v>
      </c>
      <c r="F185" s="200"/>
      <c r="G185" s="40">
        <v>7.52</v>
      </c>
      <c r="H185" s="41">
        <f t="shared" si="63"/>
        <v>64.75</v>
      </c>
      <c r="I185" s="207" t="s">
        <v>85</v>
      </c>
      <c r="J185" s="62">
        <v>7</v>
      </c>
      <c r="K185" s="62"/>
      <c r="L185" s="62"/>
      <c r="M185" s="62"/>
      <c r="N185" s="62"/>
      <c r="O185" s="62"/>
      <c r="P185" s="62"/>
      <c r="Q185" s="62"/>
      <c r="R185" s="62"/>
      <c r="S185" s="62"/>
      <c r="T185" s="65">
        <f t="shared" si="64"/>
        <v>7</v>
      </c>
      <c r="U185" s="65">
        <f t="shared" si="65"/>
        <v>0</v>
      </c>
      <c r="V185" s="65">
        <f t="shared" si="66"/>
        <v>0</v>
      </c>
      <c r="W185" s="42">
        <f t="shared" si="67"/>
        <v>1</v>
      </c>
      <c r="X185" s="42">
        <f t="shared" si="68"/>
        <v>0</v>
      </c>
      <c r="Y185" s="43">
        <f t="shared" si="69"/>
        <v>1</v>
      </c>
      <c r="Z185" s="96">
        <f t="shared" si="70"/>
        <v>64.75</v>
      </c>
      <c r="AA185" s="96">
        <f>Q185*E185</f>
        <v>0</v>
      </c>
      <c r="AB185" s="96">
        <f t="shared" si="71"/>
        <v>64.75</v>
      </c>
      <c r="AC185" s="5"/>
    </row>
    <row r="186" spans="1:29" s="87" customFormat="1" ht="51">
      <c r="A186" s="37" t="s">
        <v>397</v>
      </c>
      <c r="B186" s="38" t="s">
        <v>398</v>
      </c>
      <c r="C186" s="61" t="s">
        <v>189</v>
      </c>
      <c r="D186" s="62">
        <v>190</v>
      </c>
      <c r="E186" s="63">
        <v>3.14</v>
      </c>
      <c r="F186" s="39" t="e">
        <f t="shared" ref="F186:F200" si="72">U186</f>
        <v>#REF!</v>
      </c>
      <c r="G186" s="63">
        <v>2.5499999999999998</v>
      </c>
      <c r="H186" s="64">
        <f t="shared" si="63"/>
        <v>596.6</v>
      </c>
      <c r="I186" s="208" t="s">
        <v>399</v>
      </c>
      <c r="J186" s="62"/>
      <c r="K186" s="62"/>
      <c r="L186" s="62"/>
      <c r="M186" s="62"/>
      <c r="N186" s="62"/>
      <c r="O186" s="62"/>
      <c r="P186" s="62"/>
      <c r="Q186" s="62"/>
      <c r="R186" s="62"/>
      <c r="S186" s="62" t="e">
        <f>#REF!</f>
        <v>#REF!</v>
      </c>
      <c r="T186" s="65" t="e">
        <f t="shared" si="64"/>
        <v>#REF!</v>
      </c>
      <c r="U186" s="65" t="e">
        <f t="shared" si="65"/>
        <v>#REF!</v>
      </c>
      <c r="V186" s="65" t="e">
        <f t="shared" si="66"/>
        <v>#REF!</v>
      </c>
      <c r="W186" s="42">
        <f t="shared" si="67"/>
        <v>0</v>
      </c>
      <c r="X186" s="42" t="e">
        <f t="shared" si="68"/>
        <v>#REF!</v>
      </c>
      <c r="Y186" s="43" t="e">
        <f t="shared" si="69"/>
        <v>#REF!</v>
      </c>
      <c r="Z186" s="96">
        <f t="shared" si="70"/>
        <v>0</v>
      </c>
      <c r="AA186" s="96" t="e">
        <f t="shared" ref="AA186:AA200" si="73">S186*G186</f>
        <v>#REF!</v>
      </c>
      <c r="AB186" s="96">
        <f t="shared" si="71"/>
        <v>0</v>
      </c>
      <c r="AC186" s="5"/>
    </row>
    <row r="187" spans="1:29" s="87" customFormat="1" ht="51">
      <c r="A187" s="37" t="s">
        <v>400</v>
      </c>
      <c r="B187" s="38" t="s">
        <v>401</v>
      </c>
      <c r="C187" s="61" t="s">
        <v>189</v>
      </c>
      <c r="D187" s="62">
        <v>820</v>
      </c>
      <c r="E187" s="63">
        <v>5.07</v>
      </c>
      <c r="F187" s="39" t="e">
        <f t="shared" si="72"/>
        <v>#REF!</v>
      </c>
      <c r="G187" s="63">
        <v>4.12</v>
      </c>
      <c r="H187" s="64">
        <f t="shared" si="63"/>
        <v>4157.3999999999996</v>
      </c>
      <c r="I187" s="208" t="s">
        <v>402</v>
      </c>
      <c r="J187" s="62"/>
      <c r="K187" s="62"/>
      <c r="L187" s="62"/>
      <c r="M187" s="62"/>
      <c r="N187" s="62"/>
      <c r="O187" s="62"/>
      <c r="P187" s="62"/>
      <c r="Q187" s="62"/>
      <c r="R187" s="62"/>
      <c r="S187" s="62" t="e">
        <f>#REF!</f>
        <v>#REF!</v>
      </c>
      <c r="T187" s="65" t="e">
        <f t="shared" si="64"/>
        <v>#REF!</v>
      </c>
      <c r="U187" s="65" t="e">
        <f t="shared" si="65"/>
        <v>#REF!</v>
      </c>
      <c r="V187" s="65" t="e">
        <f t="shared" si="66"/>
        <v>#REF!</v>
      </c>
      <c r="W187" s="42">
        <f t="shared" si="67"/>
        <v>0</v>
      </c>
      <c r="X187" s="42" t="e">
        <f t="shared" si="68"/>
        <v>#REF!</v>
      </c>
      <c r="Y187" s="43" t="e">
        <f t="shared" si="69"/>
        <v>#REF!</v>
      </c>
      <c r="Z187" s="96">
        <f t="shared" si="70"/>
        <v>0</v>
      </c>
      <c r="AA187" s="96" t="e">
        <f t="shared" si="73"/>
        <v>#REF!</v>
      </c>
      <c r="AB187" s="96">
        <f t="shared" si="71"/>
        <v>0</v>
      </c>
      <c r="AC187" s="5"/>
    </row>
    <row r="188" spans="1:29" s="87" customFormat="1" ht="51">
      <c r="A188" s="37" t="s">
        <v>403</v>
      </c>
      <c r="B188" s="38" t="s">
        <v>404</v>
      </c>
      <c r="C188" s="61" t="s">
        <v>189</v>
      </c>
      <c r="D188" s="62">
        <v>14</v>
      </c>
      <c r="E188" s="63">
        <v>17.36</v>
      </c>
      <c r="F188" s="39">
        <f t="shared" si="72"/>
        <v>14</v>
      </c>
      <c r="G188" s="63">
        <v>14.11</v>
      </c>
      <c r="H188" s="64">
        <f t="shared" si="63"/>
        <v>243.04</v>
      </c>
      <c r="I188" s="208" t="s">
        <v>405</v>
      </c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5">
        <f t="shared" si="64"/>
        <v>0</v>
      </c>
      <c r="U188" s="65">
        <f t="shared" si="65"/>
        <v>14</v>
      </c>
      <c r="V188" s="65">
        <f t="shared" si="66"/>
        <v>243.04</v>
      </c>
      <c r="W188" s="42">
        <f t="shared" si="67"/>
        <v>0</v>
      </c>
      <c r="X188" s="42">
        <f t="shared" si="68"/>
        <v>0</v>
      </c>
      <c r="Y188" s="43">
        <f t="shared" si="69"/>
        <v>0</v>
      </c>
      <c r="Z188" s="96">
        <f t="shared" si="70"/>
        <v>0</v>
      </c>
      <c r="AA188" s="96">
        <f t="shared" si="73"/>
        <v>0</v>
      </c>
      <c r="AB188" s="96">
        <f t="shared" si="71"/>
        <v>0</v>
      </c>
      <c r="AC188" s="5"/>
    </row>
    <row r="189" spans="1:29" s="87" customFormat="1" ht="51">
      <c r="A189" s="37" t="s">
        <v>406</v>
      </c>
      <c r="B189" s="38" t="s">
        <v>407</v>
      </c>
      <c r="C189" s="61" t="s">
        <v>189</v>
      </c>
      <c r="D189" s="62">
        <v>41</v>
      </c>
      <c r="E189" s="63">
        <v>21.67</v>
      </c>
      <c r="F189" s="39">
        <f t="shared" si="72"/>
        <v>41</v>
      </c>
      <c r="G189" s="63">
        <v>17.62</v>
      </c>
      <c r="H189" s="64">
        <f t="shared" si="63"/>
        <v>888.47</v>
      </c>
      <c r="I189" s="208" t="s">
        <v>408</v>
      </c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5">
        <f t="shared" si="64"/>
        <v>0</v>
      </c>
      <c r="U189" s="65">
        <f t="shared" si="65"/>
        <v>41</v>
      </c>
      <c r="V189" s="65">
        <f t="shared" si="66"/>
        <v>888.47</v>
      </c>
      <c r="W189" s="42">
        <f t="shared" si="67"/>
        <v>0</v>
      </c>
      <c r="X189" s="42">
        <f t="shared" si="68"/>
        <v>0</v>
      </c>
      <c r="Y189" s="43">
        <f t="shared" si="69"/>
        <v>0</v>
      </c>
      <c r="Z189" s="96">
        <f t="shared" si="70"/>
        <v>0</v>
      </c>
      <c r="AA189" s="96">
        <f t="shared" si="73"/>
        <v>0</v>
      </c>
      <c r="AB189" s="96">
        <f t="shared" si="71"/>
        <v>0</v>
      </c>
      <c r="AC189" s="5"/>
    </row>
    <row r="190" spans="1:29" s="87" customFormat="1">
      <c r="A190" s="37" t="s">
        <v>409</v>
      </c>
      <c r="B190" s="38" t="s">
        <v>410</v>
      </c>
      <c r="C190" s="61" t="s">
        <v>70</v>
      </c>
      <c r="D190" s="62">
        <v>2</v>
      </c>
      <c r="E190" s="63">
        <v>14.3</v>
      </c>
      <c r="F190" s="39">
        <f t="shared" si="72"/>
        <v>2</v>
      </c>
      <c r="G190" s="63">
        <v>11.63</v>
      </c>
      <c r="H190" s="64">
        <f t="shared" si="63"/>
        <v>28.6</v>
      </c>
      <c r="I190" s="208" t="s">
        <v>411</v>
      </c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5">
        <f t="shared" si="64"/>
        <v>0</v>
      </c>
      <c r="U190" s="65">
        <f t="shared" si="65"/>
        <v>2</v>
      </c>
      <c r="V190" s="65">
        <f t="shared" si="66"/>
        <v>28.6</v>
      </c>
      <c r="W190" s="42">
        <f t="shared" si="67"/>
        <v>0</v>
      </c>
      <c r="X190" s="42">
        <f t="shared" si="68"/>
        <v>0</v>
      </c>
      <c r="Y190" s="43">
        <f t="shared" si="69"/>
        <v>0</v>
      </c>
      <c r="Z190" s="96">
        <f t="shared" si="70"/>
        <v>0</v>
      </c>
      <c r="AA190" s="96">
        <f t="shared" si="73"/>
        <v>0</v>
      </c>
      <c r="AB190" s="96">
        <f t="shared" si="71"/>
        <v>0</v>
      </c>
      <c r="AC190" s="5"/>
    </row>
    <row r="191" spans="1:29" s="87" customFormat="1">
      <c r="A191" s="37" t="s">
        <v>412</v>
      </c>
      <c r="B191" s="38" t="s">
        <v>413</v>
      </c>
      <c r="C191" s="61" t="s">
        <v>70</v>
      </c>
      <c r="D191" s="62">
        <v>1</v>
      </c>
      <c r="E191" s="63">
        <v>51.71</v>
      </c>
      <c r="F191" s="39">
        <f t="shared" si="72"/>
        <v>1</v>
      </c>
      <c r="G191" s="63">
        <v>42.04</v>
      </c>
      <c r="H191" s="64">
        <f t="shared" si="63"/>
        <v>51.71</v>
      </c>
      <c r="I191" s="208" t="s">
        <v>414</v>
      </c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5">
        <f t="shared" si="64"/>
        <v>0</v>
      </c>
      <c r="U191" s="65">
        <f t="shared" si="65"/>
        <v>1</v>
      </c>
      <c r="V191" s="65">
        <f t="shared" si="66"/>
        <v>51.71</v>
      </c>
      <c r="W191" s="42">
        <f t="shared" si="67"/>
        <v>0</v>
      </c>
      <c r="X191" s="42">
        <f t="shared" si="68"/>
        <v>0</v>
      </c>
      <c r="Y191" s="43">
        <f t="shared" si="69"/>
        <v>0</v>
      </c>
      <c r="Z191" s="96">
        <f t="shared" si="70"/>
        <v>0</v>
      </c>
      <c r="AA191" s="96">
        <f t="shared" si="73"/>
        <v>0</v>
      </c>
      <c r="AB191" s="96">
        <f t="shared" si="71"/>
        <v>0</v>
      </c>
      <c r="AC191" s="5"/>
    </row>
    <row r="192" spans="1:29" s="87" customFormat="1">
      <c r="A192" s="37" t="s">
        <v>415</v>
      </c>
      <c r="B192" s="38" t="s">
        <v>416</v>
      </c>
      <c r="C192" s="61" t="s">
        <v>70</v>
      </c>
      <c r="D192" s="62">
        <v>7</v>
      </c>
      <c r="E192" s="63">
        <v>42.2</v>
      </c>
      <c r="F192" s="39">
        <f t="shared" si="72"/>
        <v>7</v>
      </c>
      <c r="G192" s="63">
        <v>34.31</v>
      </c>
      <c r="H192" s="64">
        <f t="shared" si="63"/>
        <v>295.39999999999998</v>
      </c>
      <c r="I192" s="208" t="s">
        <v>417</v>
      </c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5">
        <f t="shared" si="64"/>
        <v>0</v>
      </c>
      <c r="U192" s="65">
        <f t="shared" si="65"/>
        <v>7</v>
      </c>
      <c r="V192" s="65">
        <f t="shared" si="66"/>
        <v>295.40000000000003</v>
      </c>
      <c r="W192" s="42">
        <f t="shared" si="67"/>
        <v>0</v>
      </c>
      <c r="X192" s="42">
        <f t="shared" si="68"/>
        <v>0</v>
      </c>
      <c r="Y192" s="43">
        <f t="shared" si="69"/>
        <v>0</v>
      </c>
      <c r="Z192" s="96">
        <f t="shared" si="70"/>
        <v>0</v>
      </c>
      <c r="AA192" s="96">
        <f t="shared" si="73"/>
        <v>0</v>
      </c>
      <c r="AB192" s="96">
        <f t="shared" si="71"/>
        <v>0</v>
      </c>
      <c r="AC192" s="5"/>
    </row>
    <row r="193" spans="1:29" s="87" customFormat="1" ht="25.5">
      <c r="A193" s="37" t="s">
        <v>418</v>
      </c>
      <c r="B193" s="38" t="s">
        <v>419</v>
      </c>
      <c r="C193" s="61" t="s">
        <v>70</v>
      </c>
      <c r="D193" s="62">
        <v>5</v>
      </c>
      <c r="E193" s="63">
        <v>10.119999999999999</v>
      </c>
      <c r="F193" s="39">
        <f t="shared" si="72"/>
        <v>5</v>
      </c>
      <c r="G193" s="63">
        <v>8.23</v>
      </c>
      <c r="H193" s="64">
        <f t="shared" si="63"/>
        <v>50.6</v>
      </c>
      <c r="I193" s="208" t="s">
        <v>420</v>
      </c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5">
        <f t="shared" si="64"/>
        <v>0</v>
      </c>
      <c r="U193" s="65">
        <f t="shared" si="65"/>
        <v>5</v>
      </c>
      <c r="V193" s="65">
        <f t="shared" si="66"/>
        <v>50.599999999999994</v>
      </c>
      <c r="W193" s="42">
        <f t="shared" si="67"/>
        <v>0</v>
      </c>
      <c r="X193" s="42">
        <f t="shared" si="68"/>
        <v>0</v>
      </c>
      <c r="Y193" s="43">
        <f t="shared" si="69"/>
        <v>0</v>
      </c>
      <c r="Z193" s="96">
        <f t="shared" si="70"/>
        <v>0</v>
      </c>
      <c r="AA193" s="96">
        <f t="shared" si="73"/>
        <v>0</v>
      </c>
      <c r="AB193" s="96">
        <f t="shared" si="71"/>
        <v>0</v>
      </c>
      <c r="AC193" s="5"/>
    </row>
    <row r="194" spans="1:29" s="87" customFormat="1" ht="25.5">
      <c r="A194" s="37" t="s">
        <v>421</v>
      </c>
      <c r="B194" s="38" t="s">
        <v>422</v>
      </c>
      <c r="C194" s="61" t="s">
        <v>70</v>
      </c>
      <c r="D194" s="62">
        <v>5</v>
      </c>
      <c r="E194" s="63">
        <v>62.84</v>
      </c>
      <c r="F194" s="39">
        <f t="shared" si="72"/>
        <v>5</v>
      </c>
      <c r="G194" s="63">
        <v>51.09</v>
      </c>
      <c r="H194" s="64">
        <f t="shared" si="63"/>
        <v>314.2</v>
      </c>
      <c r="I194" s="208" t="s">
        <v>423</v>
      </c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5">
        <f t="shared" si="64"/>
        <v>0</v>
      </c>
      <c r="U194" s="65">
        <f t="shared" si="65"/>
        <v>5</v>
      </c>
      <c r="V194" s="65">
        <f t="shared" si="66"/>
        <v>314.20000000000005</v>
      </c>
      <c r="W194" s="42">
        <f t="shared" si="67"/>
        <v>0</v>
      </c>
      <c r="X194" s="42">
        <f t="shared" si="68"/>
        <v>0</v>
      </c>
      <c r="Y194" s="43">
        <f t="shared" si="69"/>
        <v>0</v>
      </c>
      <c r="Z194" s="96">
        <f t="shared" si="70"/>
        <v>0</v>
      </c>
      <c r="AA194" s="96">
        <f t="shared" si="73"/>
        <v>0</v>
      </c>
      <c r="AB194" s="96">
        <f t="shared" si="71"/>
        <v>0</v>
      </c>
      <c r="AC194" s="5"/>
    </row>
    <row r="195" spans="1:29" s="87" customFormat="1" ht="25.5">
      <c r="A195" s="37" t="s">
        <v>424</v>
      </c>
      <c r="B195" s="38" t="s">
        <v>425</v>
      </c>
      <c r="C195" s="61" t="s">
        <v>70</v>
      </c>
      <c r="D195" s="62">
        <v>8</v>
      </c>
      <c r="E195" s="63">
        <v>62.84</v>
      </c>
      <c r="F195" s="39">
        <f t="shared" si="72"/>
        <v>8</v>
      </c>
      <c r="G195" s="63">
        <v>51.09</v>
      </c>
      <c r="H195" s="64">
        <f t="shared" si="63"/>
        <v>502.72</v>
      </c>
      <c r="I195" s="208" t="s">
        <v>426</v>
      </c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5">
        <f t="shared" si="64"/>
        <v>0</v>
      </c>
      <c r="U195" s="65">
        <f t="shared" si="65"/>
        <v>8</v>
      </c>
      <c r="V195" s="65">
        <f t="shared" si="66"/>
        <v>502.72</v>
      </c>
      <c r="W195" s="42">
        <f t="shared" si="67"/>
        <v>0</v>
      </c>
      <c r="X195" s="42">
        <f t="shared" si="68"/>
        <v>0</v>
      </c>
      <c r="Y195" s="43">
        <f t="shared" si="69"/>
        <v>0</v>
      </c>
      <c r="Z195" s="96">
        <f t="shared" si="70"/>
        <v>0</v>
      </c>
      <c r="AA195" s="96">
        <f t="shared" si="73"/>
        <v>0</v>
      </c>
      <c r="AB195" s="96">
        <f t="shared" si="71"/>
        <v>0</v>
      </c>
      <c r="AC195" s="5"/>
    </row>
    <row r="196" spans="1:29" s="87" customFormat="1" ht="25.5">
      <c r="A196" s="37" t="s">
        <v>427</v>
      </c>
      <c r="B196" s="38" t="s">
        <v>428</v>
      </c>
      <c r="C196" s="61" t="s">
        <v>70</v>
      </c>
      <c r="D196" s="62">
        <v>2</v>
      </c>
      <c r="E196" s="63">
        <v>511.69</v>
      </c>
      <c r="F196" s="39">
        <f t="shared" si="72"/>
        <v>2</v>
      </c>
      <c r="G196" s="63">
        <v>416.01</v>
      </c>
      <c r="H196" s="64">
        <f t="shared" si="63"/>
        <v>1023.38</v>
      </c>
      <c r="I196" s="155" t="s">
        <v>85</v>
      </c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5">
        <f t="shared" si="64"/>
        <v>0</v>
      </c>
      <c r="U196" s="65">
        <f t="shared" si="65"/>
        <v>2</v>
      </c>
      <c r="V196" s="65">
        <f t="shared" si="66"/>
        <v>1023.38</v>
      </c>
      <c r="W196" s="42">
        <f t="shared" si="67"/>
        <v>0</v>
      </c>
      <c r="X196" s="42">
        <f t="shared" si="68"/>
        <v>0</v>
      </c>
      <c r="Y196" s="43">
        <f t="shared" si="69"/>
        <v>0</v>
      </c>
      <c r="Z196" s="96">
        <f t="shared" si="70"/>
        <v>0</v>
      </c>
      <c r="AA196" s="96">
        <f t="shared" si="73"/>
        <v>0</v>
      </c>
      <c r="AB196" s="96">
        <f t="shared" si="71"/>
        <v>0</v>
      </c>
      <c r="AC196" s="5"/>
    </row>
    <row r="197" spans="1:29" s="87" customFormat="1" ht="25.5">
      <c r="A197" s="37" t="s">
        <v>429</v>
      </c>
      <c r="B197" s="38" t="s">
        <v>430</v>
      </c>
      <c r="C197" s="61" t="s">
        <v>70</v>
      </c>
      <c r="D197" s="62">
        <v>1</v>
      </c>
      <c r="E197" s="63">
        <v>246.47</v>
      </c>
      <c r="F197" s="39">
        <f t="shared" si="72"/>
        <v>1</v>
      </c>
      <c r="G197" s="63">
        <v>200.38</v>
      </c>
      <c r="H197" s="64">
        <f t="shared" si="63"/>
        <v>246.47</v>
      </c>
      <c r="I197" s="155" t="s">
        <v>85</v>
      </c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5">
        <f t="shared" si="64"/>
        <v>0</v>
      </c>
      <c r="U197" s="65">
        <f t="shared" si="65"/>
        <v>1</v>
      </c>
      <c r="V197" s="65">
        <f t="shared" si="66"/>
        <v>246.47</v>
      </c>
      <c r="W197" s="42">
        <f t="shared" si="67"/>
        <v>0</v>
      </c>
      <c r="X197" s="42">
        <f t="shared" si="68"/>
        <v>0</v>
      </c>
      <c r="Y197" s="43">
        <f t="shared" si="69"/>
        <v>0</v>
      </c>
      <c r="Z197" s="96">
        <f t="shared" si="70"/>
        <v>0</v>
      </c>
      <c r="AA197" s="96">
        <f t="shared" si="73"/>
        <v>0</v>
      </c>
      <c r="AB197" s="96">
        <f t="shared" si="71"/>
        <v>0</v>
      </c>
      <c r="AC197" s="5"/>
    </row>
    <row r="198" spans="1:29" s="87" customFormat="1">
      <c r="A198" s="37" t="s">
        <v>431</v>
      </c>
      <c r="B198" s="38" t="s">
        <v>432</v>
      </c>
      <c r="C198" s="61" t="s">
        <v>70</v>
      </c>
      <c r="D198" s="62">
        <v>1</v>
      </c>
      <c r="E198" s="63">
        <v>220.82</v>
      </c>
      <c r="F198" s="39">
        <f t="shared" si="72"/>
        <v>1</v>
      </c>
      <c r="G198" s="63">
        <v>179.53</v>
      </c>
      <c r="H198" s="64">
        <f t="shared" si="63"/>
        <v>220.82</v>
      </c>
      <c r="I198" s="155" t="s">
        <v>433</v>
      </c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5">
        <f t="shared" si="64"/>
        <v>0</v>
      </c>
      <c r="U198" s="65">
        <f t="shared" si="65"/>
        <v>1</v>
      </c>
      <c r="V198" s="65">
        <f t="shared" si="66"/>
        <v>220.82</v>
      </c>
      <c r="W198" s="42">
        <f t="shared" si="67"/>
        <v>0</v>
      </c>
      <c r="X198" s="42">
        <f t="shared" si="68"/>
        <v>0</v>
      </c>
      <c r="Y198" s="43">
        <f t="shared" si="69"/>
        <v>0</v>
      </c>
      <c r="Z198" s="96">
        <f t="shared" si="70"/>
        <v>0</v>
      </c>
      <c r="AA198" s="96">
        <f t="shared" si="73"/>
        <v>0</v>
      </c>
      <c r="AB198" s="96">
        <f t="shared" si="71"/>
        <v>0</v>
      </c>
      <c r="AC198" s="81"/>
    </row>
    <row r="199" spans="1:29" s="87" customFormat="1" ht="51">
      <c r="A199" s="37" t="s">
        <v>434</v>
      </c>
      <c r="B199" s="38" t="s">
        <v>435</v>
      </c>
      <c r="C199" s="61" t="s">
        <v>70</v>
      </c>
      <c r="D199" s="62">
        <v>1</v>
      </c>
      <c r="E199" s="63">
        <v>609.29</v>
      </c>
      <c r="F199" s="39">
        <f t="shared" si="72"/>
        <v>1</v>
      </c>
      <c r="G199" s="63">
        <v>495.36</v>
      </c>
      <c r="H199" s="64">
        <f t="shared" si="63"/>
        <v>609.29</v>
      </c>
      <c r="I199" s="155" t="s">
        <v>85</v>
      </c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5">
        <f t="shared" si="64"/>
        <v>0</v>
      </c>
      <c r="U199" s="65">
        <f t="shared" si="65"/>
        <v>1</v>
      </c>
      <c r="V199" s="65">
        <f t="shared" si="66"/>
        <v>609.29</v>
      </c>
      <c r="W199" s="42">
        <f t="shared" si="67"/>
        <v>0</v>
      </c>
      <c r="X199" s="42">
        <f t="shared" si="68"/>
        <v>0</v>
      </c>
      <c r="Y199" s="43">
        <f t="shared" si="69"/>
        <v>0</v>
      </c>
      <c r="Z199" s="96">
        <f t="shared" si="70"/>
        <v>0</v>
      </c>
      <c r="AA199" s="96">
        <f t="shared" si="73"/>
        <v>0</v>
      </c>
      <c r="AB199" s="96">
        <f t="shared" si="71"/>
        <v>0</v>
      </c>
      <c r="AC199" s="82"/>
    </row>
    <row r="200" spans="1:29" s="87" customFormat="1" ht="51">
      <c r="A200" s="37" t="s">
        <v>436</v>
      </c>
      <c r="B200" s="38" t="s">
        <v>437</v>
      </c>
      <c r="C200" s="61" t="s">
        <v>70</v>
      </c>
      <c r="D200" s="62">
        <v>1</v>
      </c>
      <c r="E200" s="63">
        <v>411.51</v>
      </c>
      <c r="F200" s="39">
        <f t="shared" si="72"/>
        <v>1</v>
      </c>
      <c r="G200" s="63">
        <v>334.56</v>
      </c>
      <c r="H200" s="64">
        <f t="shared" si="63"/>
        <v>411.51</v>
      </c>
      <c r="I200" s="155" t="s">
        <v>85</v>
      </c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5">
        <f t="shared" si="64"/>
        <v>0</v>
      </c>
      <c r="U200" s="65">
        <f t="shared" si="65"/>
        <v>1</v>
      </c>
      <c r="V200" s="65">
        <f t="shared" si="66"/>
        <v>411.51</v>
      </c>
      <c r="W200" s="42">
        <f t="shared" si="67"/>
        <v>0</v>
      </c>
      <c r="X200" s="42">
        <f t="shared" si="68"/>
        <v>0</v>
      </c>
      <c r="Y200" s="43">
        <f t="shared" si="69"/>
        <v>0</v>
      </c>
      <c r="Z200" s="96">
        <f t="shared" si="70"/>
        <v>0</v>
      </c>
      <c r="AA200" s="96">
        <f t="shared" si="73"/>
        <v>0</v>
      </c>
      <c r="AB200" s="96">
        <f t="shared" si="71"/>
        <v>0</v>
      </c>
      <c r="AC200" s="5"/>
    </row>
    <row r="201" spans="1:29">
      <c r="A201" s="192" t="s">
        <v>438</v>
      </c>
      <c r="B201" s="193" t="s">
        <v>439</v>
      </c>
      <c r="C201" s="192" t="s">
        <v>189</v>
      </c>
      <c r="D201" s="39">
        <v>22</v>
      </c>
      <c r="E201" s="40">
        <v>7.24</v>
      </c>
      <c r="F201" s="205"/>
      <c r="G201" s="40">
        <v>5.89</v>
      </c>
      <c r="H201" s="41">
        <f t="shared" si="63"/>
        <v>159.28</v>
      </c>
      <c r="I201" s="206" t="s">
        <v>85</v>
      </c>
      <c r="J201" s="62">
        <v>22</v>
      </c>
      <c r="K201" s="62"/>
      <c r="L201" s="62"/>
      <c r="M201" s="62"/>
      <c r="N201" s="62"/>
      <c r="O201" s="62"/>
      <c r="P201" s="62"/>
      <c r="Q201" s="62"/>
      <c r="R201" s="62"/>
      <c r="S201" s="62"/>
      <c r="T201" s="65">
        <f t="shared" si="64"/>
        <v>22</v>
      </c>
      <c r="U201" s="65">
        <f t="shared" si="65"/>
        <v>0</v>
      </c>
      <c r="V201" s="65">
        <f t="shared" si="66"/>
        <v>0</v>
      </c>
      <c r="W201" s="42">
        <f t="shared" si="67"/>
        <v>1</v>
      </c>
      <c r="X201" s="42">
        <f t="shared" si="68"/>
        <v>0</v>
      </c>
      <c r="Y201" s="43">
        <f t="shared" si="69"/>
        <v>1</v>
      </c>
      <c r="Z201" s="96">
        <f t="shared" si="70"/>
        <v>159.28</v>
      </c>
      <c r="AA201" s="96">
        <f t="shared" ref="AA201:AA206" si="74">Q201*E201</f>
        <v>0</v>
      </c>
      <c r="AB201" s="96">
        <f t="shared" si="71"/>
        <v>159.28</v>
      </c>
      <c r="AC201" s="5"/>
    </row>
    <row r="202" spans="1:29">
      <c r="A202" s="37" t="s">
        <v>440</v>
      </c>
      <c r="B202" s="38" t="s">
        <v>441</v>
      </c>
      <c r="C202" s="37" t="s">
        <v>189</v>
      </c>
      <c r="D202" s="39">
        <v>32</v>
      </c>
      <c r="E202" s="40">
        <v>5.0599999999999996</v>
      </c>
      <c r="F202" s="40"/>
      <c r="G202" s="40">
        <v>4.1100000000000003</v>
      </c>
      <c r="H202" s="41">
        <f t="shared" si="63"/>
        <v>161.91999999999999</v>
      </c>
      <c r="I202" s="154" t="s">
        <v>85</v>
      </c>
      <c r="J202" s="62">
        <v>32</v>
      </c>
      <c r="K202" s="62"/>
      <c r="L202" s="62"/>
      <c r="M202" s="62"/>
      <c r="N202" s="62"/>
      <c r="O202" s="62"/>
      <c r="P202" s="62"/>
      <c r="Q202" s="62"/>
      <c r="R202" s="62"/>
      <c r="S202" s="62"/>
      <c r="T202" s="65">
        <f t="shared" si="64"/>
        <v>32</v>
      </c>
      <c r="U202" s="65">
        <f t="shared" si="65"/>
        <v>0</v>
      </c>
      <c r="V202" s="65">
        <f t="shared" si="66"/>
        <v>0</v>
      </c>
      <c r="W202" s="42">
        <f t="shared" si="67"/>
        <v>1</v>
      </c>
      <c r="X202" s="42">
        <f t="shared" si="68"/>
        <v>0</v>
      </c>
      <c r="Y202" s="43">
        <f t="shared" si="69"/>
        <v>1</v>
      </c>
      <c r="Z202" s="96">
        <f t="shared" si="70"/>
        <v>161.91999999999999</v>
      </c>
      <c r="AA202" s="96">
        <f t="shared" si="74"/>
        <v>0</v>
      </c>
      <c r="AB202" s="96">
        <f t="shared" si="71"/>
        <v>161.91999999999999</v>
      </c>
      <c r="AC202" s="5"/>
    </row>
    <row r="203" spans="1:29">
      <c r="A203" s="37" t="s">
        <v>442</v>
      </c>
      <c r="B203" s="38" t="s">
        <v>443</v>
      </c>
      <c r="C203" s="37" t="s">
        <v>189</v>
      </c>
      <c r="D203" s="39">
        <v>22</v>
      </c>
      <c r="E203" s="40">
        <v>11.75</v>
      </c>
      <c r="F203" s="40"/>
      <c r="G203" s="40">
        <v>9.5500000000000007</v>
      </c>
      <c r="H203" s="41">
        <f t="shared" si="63"/>
        <v>258.5</v>
      </c>
      <c r="I203" s="154" t="s">
        <v>85</v>
      </c>
      <c r="J203" s="62">
        <v>22</v>
      </c>
      <c r="K203" s="62"/>
      <c r="L203" s="62"/>
      <c r="M203" s="62"/>
      <c r="N203" s="62"/>
      <c r="O203" s="62"/>
      <c r="P203" s="62"/>
      <c r="Q203" s="62"/>
      <c r="R203" s="62"/>
      <c r="S203" s="62"/>
      <c r="T203" s="65">
        <f t="shared" si="64"/>
        <v>22</v>
      </c>
      <c r="U203" s="65">
        <f t="shared" si="65"/>
        <v>0</v>
      </c>
      <c r="V203" s="65">
        <f t="shared" si="66"/>
        <v>0</v>
      </c>
      <c r="W203" s="42">
        <f t="shared" si="67"/>
        <v>1</v>
      </c>
      <c r="X203" s="42">
        <f t="shared" si="68"/>
        <v>0</v>
      </c>
      <c r="Y203" s="43">
        <f t="shared" si="69"/>
        <v>1</v>
      </c>
      <c r="Z203" s="96">
        <f t="shared" si="70"/>
        <v>258.5</v>
      </c>
      <c r="AA203" s="96">
        <f t="shared" si="74"/>
        <v>0</v>
      </c>
      <c r="AB203" s="96">
        <f t="shared" si="71"/>
        <v>258.5</v>
      </c>
      <c r="AC203" s="5"/>
    </row>
    <row r="204" spans="1:29" ht="25.5">
      <c r="A204" s="37" t="s">
        <v>444</v>
      </c>
      <c r="B204" s="38" t="s">
        <v>445</v>
      </c>
      <c r="C204" s="37" t="s">
        <v>189</v>
      </c>
      <c r="D204" s="39">
        <v>86</v>
      </c>
      <c r="E204" s="40">
        <v>21.61</v>
      </c>
      <c r="F204" s="40"/>
      <c r="G204" s="40">
        <v>17.57</v>
      </c>
      <c r="H204" s="41">
        <f t="shared" si="63"/>
        <v>1858.46</v>
      </c>
      <c r="I204" s="154" t="s">
        <v>85</v>
      </c>
      <c r="J204" s="62">
        <v>86</v>
      </c>
      <c r="K204" s="62"/>
      <c r="L204" s="62"/>
      <c r="M204" s="62"/>
      <c r="N204" s="62"/>
      <c r="O204" s="62"/>
      <c r="P204" s="62"/>
      <c r="Q204" s="62"/>
      <c r="R204" s="62"/>
      <c r="S204" s="62"/>
      <c r="T204" s="65">
        <f t="shared" si="64"/>
        <v>86</v>
      </c>
      <c r="U204" s="65">
        <f t="shared" si="65"/>
        <v>0</v>
      </c>
      <c r="V204" s="65">
        <f t="shared" si="66"/>
        <v>0</v>
      </c>
      <c r="W204" s="42">
        <f t="shared" si="67"/>
        <v>1</v>
      </c>
      <c r="X204" s="42">
        <f t="shared" si="68"/>
        <v>0</v>
      </c>
      <c r="Y204" s="43">
        <f t="shared" si="69"/>
        <v>1</v>
      </c>
      <c r="Z204" s="96">
        <f t="shared" si="70"/>
        <v>1858.46</v>
      </c>
      <c r="AA204" s="96">
        <f t="shared" si="74"/>
        <v>0</v>
      </c>
      <c r="AB204" s="96">
        <f t="shared" si="71"/>
        <v>1858.46</v>
      </c>
      <c r="AC204" s="5"/>
    </row>
    <row r="205" spans="1:29" ht="25.5">
      <c r="A205" s="37" t="s">
        <v>446</v>
      </c>
      <c r="B205" s="38" t="s">
        <v>447</v>
      </c>
      <c r="C205" s="37" t="s">
        <v>189</v>
      </c>
      <c r="D205" s="39">
        <v>17</v>
      </c>
      <c r="E205" s="40">
        <v>22.85</v>
      </c>
      <c r="F205" s="40"/>
      <c r="G205" s="40">
        <v>18.579999999999998</v>
      </c>
      <c r="H205" s="41">
        <f t="shared" si="63"/>
        <v>388.45</v>
      </c>
      <c r="I205" s="154" t="s">
        <v>85</v>
      </c>
      <c r="J205" s="62">
        <v>17</v>
      </c>
      <c r="K205" s="62"/>
      <c r="L205" s="62"/>
      <c r="M205" s="62"/>
      <c r="N205" s="62"/>
      <c r="O205" s="62"/>
      <c r="P205" s="62"/>
      <c r="Q205" s="62"/>
      <c r="R205" s="62"/>
      <c r="S205" s="62"/>
      <c r="T205" s="65">
        <f t="shared" si="64"/>
        <v>17</v>
      </c>
      <c r="U205" s="65">
        <f t="shared" si="65"/>
        <v>0</v>
      </c>
      <c r="V205" s="65">
        <f t="shared" si="66"/>
        <v>0</v>
      </c>
      <c r="W205" s="42">
        <f t="shared" si="67"/>
        <v>1</v>
      </c>
      <c r="X205" s="42">
        <f t="shared" si="68"/>
        <v>0</v>
      </c>
      <c r="Y205" s="43">
        <f t="shared" si="69"/>
        <v>1</v>
      </c>
      <c r="Z205" s="96">
        <f t="shared" si="70"/>
        <v>388.45000000000005</v>
      </c>
      <c r="AA205" s="96">
        <f t="shared" si="74"/>
        <v>0</v>
      </c>
      <c r="AB205" s="96">
        <f t="shared" si="71"/>
        <v>388.45000000000005</v>
      </c>
      <c r="AC205" s="5"/>
    </row>
    <row r="206" spans="1:29" ht="25.5">
      <c r="A206" s="182" t="s">
        <v>448</v>
      </c>
      <c r="B206" s="183" t="s">
        <v>449</v>
      </c>
      <c r="C206" s="182" t="s">
        <v>189</v>
      </c>
      <c r="D206" s="39">
        <v>34</v>
      </c>
      <c r="E206" s="40">
        <v>38.840000000000003</v>
      </c>
      <c r="F206" s="186"/>
      <c r="G206" s="40">
        <v>31.58</v>
      </c>
      <c r="H206" s="41">
        <f t="shared" si="63"/>
        <v>1320.56</v>
      </c>
      <c r="I206" s="187" t="s">
        <v>85</v>
      </c>
      <c r="J206" s="62">
        <v>34</v>
      </c>
      <c r="K206" s="62"/>
      <c r="L206" s="62"/>
      <c r="M206" s="62"/>
      <c r="N206" s="62"/>
      <c r="O206" s="62"/>
      <c r="P206" s="62"/>
      <c r="Q206" s="62"/>
      <c r="R206" s="62"/>
      <c r="S206" s="62"/>
      <c r="T206" s="65">
        <f t="shared" si="64"/>
        <v>34</v>
      </c>
      <c r="U206" s="65">
        <f t="shared" si="65"/>
        <v>0</v>
      </c>
      <c r="V206" s="65">
        <f t="shared" si="66"/>
        <v>0</v>
      </c>
      <c r="W206" s="42">
        <f t="shared" si="67"/>
        <v>1</v>
      </c>
      <c r="X206" s="42">
        <f t="shared" si="68"/>
        <v>0</v>
      </c>
      <c r="Y206" s="43">
        <f t="shared" si="69"/>
        <v>1</v>
      </c>
      <c r="Z206" s="96">
        <f t="shared" si="70"/>
        <v>1320.5600000000002</v>
      </c>
      <c r="AA206" s="96">
        <f t="shared" si="74"/>
        <v>0</v>
      </c>
      <c r="AB206" s="96">
        <f t="shared" si="71"/>
        <v>1320.5600000000002</v>
      </c>
      <c r="AC206" s="5"/>
    </row>
    <row r="207" spans="1:29" s="87" customFormat="1" ht="25.5">
      <c r="A207" s="37" t="s">
        <v>450</v>
      </c>
      <c r="B207" s="38" t="s">
        <v>451</v>
      </c>
      <c r="C207" s="61" t="s">
        <v>70</v>
      </c>
      <c r="D207" s="62">
        <v>6</v>
      </c>
      <c r="E207" s="63">
        <v>111.44</v>
      </c>
      <c r="F207" s="39">
        <f>U207</f>
        <v>6</v>
      </c>
      <c r="G207" s="63">
        <v>90.6</v>
      </c>
      <c r="H207" s="64">
        <f t="shared" si="63"/>
        <v>668.64</v>
      </c>
      <c r="I207" s="208" t="s">
        <v>452</v>
      </c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5">
        <f t="shared" si="64"/>
        <v>0</v>
      </c>
      <c r="U207" s="65">
        <f t="shared" si="65"/>
        <v>6</v>
      </c>
      <c r="V207" s="65">
        <f t="shared" si="66"/>
        <v>668.64</v>
      </c>
      <c r="W207" s="42">
        <f t="shared" si="67"/>
        <v>0</v>
      </c>
      <c r="X207" s="42">
        <f t="shared" si="68"/>
        <v>0</v>
      </c>
      <c r="Y207" s="43">
        <f t="shared" si="69"/>
        <v>0</v>
      </c>
      <c r="Z207" s="96">
        <f t="shared" si="70"/>
        <v>0</v>
      </c>
      <c r="AA207" s="96">
        <f>S207*G207</f>
        <v>0</v>
      </c>
      <c r="AB207" s="96">
        <f t="shared" si="71"/>
        <v>0</v>
      </c>
      <c r="AC207" s="5"/>
    </row>
    <row r="208" spans="1:29" s="87" customFormat="1" ht="25.5">
      <c r="A208" s="37" t="s">
        <v>453</v>
      </c>
      <c r="B208" s="38" t="s">
        <v>454</v>
      </c>
      <c r="C208" s="61" t="s">
        <v>70</v>
      </c>
      <c r="D208" s="62">
        <v>1</v>
      </c>
      <c r="E208" s="63">
        <v>80.23</v>
      </c>
      <c r="F208" s="39">
        <f>U208</f>
        <v>1</v>
      </c>
      <c r="G208" s="63">
        <v>65.23</v>
      </c>
      <c r="H208" s="64">
        <f t="shared" si="63"/>
        <v>80.23</v>
      </c>
      <c r="I208" s="208" t="s">
        <v>455</v>
      </c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5">
        <f t="shared" si="64"/>
        <v>0</v>
      </c>
      <c r="U208" s="65">
        <f t="shared" si="65"/>
        <v>1</v>
      </c>
      <c r="V208" s="65">
        <f t="shared" si="66"/>
        <v>80.23</v>
      </c>
      <c r="W208" s="42">
        <f t="shared" si="67"/>
        <v>0</v>
      </c>
      <c r="X208" s="42">
        <f t="shared" si="68"/>
        <v>0</v>
      </c>
      <c r="Y208" s="43">
        <f t="shared" si="69"/>
        <v>0</v>
      </c>
      <c r="Z208" s="96">
        <f t="shared" si="70"/>
        <v>0</v>
      </c>
      <c r="AA208" s="96">
        <f>S208*G208</f>
        <v>0</v>
      </c>
      <c r="AB208" s="96">
        <f t="shared" si="71"/>
        <v>0</v>
      </c>
      <c r="AC208" s="5"/>
    </row>
    <row r="209" spans="1:29" s="87" customFormat="1" ht="38.25">
      <c r="A209" s="37" t="s">
        <v>456</v>
      </c>
      <c r="B209" s="38" t="s">
        <v>457</v>
      </c>
      <c r="C209" s="61" t="s">
        <v>70</v>
      </c>
      <c r="D209" s="62">
        <v>15</v>
      </c>
      <c r="E209" s="63">
        <v>608.30999999999995</v>
      </c>
      <c r="F209" s="39">
        <f>U209</f>
        <v>15</v>
      </c>
      <c r="G209" s="63">
        <v>494.56</v>
      </c>
      <c r="H209" s="64">
        <f t="shared" si="63"/>
        <v>9124.65</v>
      </c>
      <c r="I209" s="155" t="s">
        <v>85</v>
      </c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5">
        <f t="shared" si="64"/>
        <v>0</v>
      </c>
      <c r="U209" s="65">
        <f t="shared" si="65"/>
        <v>15</v>
      </c>
      <c r="V209" s="65">
        <f t="shared" si="66"/>
        <v>9124.65</v>
      </c>
      <c r="W209" s="42">
        <f t="shared" si="67"/>
        <v>0</v>
      </c>
      <c r="X209" s="42">
        <f t="shared" si="68"/>
        <v>0</v>
      </c>
      <c r="Y209" s="43">
        <f t="shared" si="69"/>
        <v>0</v>
      </c>
      <c r="Z209" s="96">
        <f t="shared" si="70"/>
        <v>0</v>
      </c>
      <c r="AA209" s="96">
        <f>S209*G209</f>
        <v>0</v>
      </c>
      <c r="AB209" s="96">
        <f t="shared" si="71"/>
        <v>0</v>
      </c>
      <c r="AC209" s="5"/>
    </row>
    <row r="210" spans="1:29" s="87" customFormat="1">
      <c r="A210" s="202"/>
      <c r="B210" s="202"/>
      <c r="C210" s="202"/>
      <c r="D210" s="58"/>
      <c r="E210" s="63"/>
      <c r="F210" s="190"/>
      <c r="G210" s="63">
        <v>0</v>
      </c>
      <c r="H210" s="59"/>
      <c r="I210" s="204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65">
        <f t="shared" si="64"/>
        <v>0</v>
      </c>
      <c r="U210" s="79"/>
      <c r="V210" s="65">
        <f t="shared" si="66"/>
        <v>0</v>
      </c>
      <c r="W210" s="42">
        <v>0</v>
      </c>
      <c r="X210" s="42">
        <f t="shared" si="68"/>
        <v>0</v>
      </c>
      <c r="Y210" s="43">
        <f t="shared" si="69"/>
        <v>0</v>
      </c>
      <c r="Z210" s="96">
        <f>(J210+K210+L210+M210)*E210</f>
        <v>0</v>
      </c>
      <c r="AA210" s="96">
        <f>Q210*E210</f>
        <v>0</v>
      </c>
      <c r="AB210" s="96">
        <f>(J210+K210+L210+M210+N210)*E210</f>
        <v>0</v>
      </c>
    </row>
    <row r="211" spans="1:29" s="89" customFormat="1" ht="25.5">
      <c r="A211" s="53">
        <v>15</v>
      </c>
      <c r="B211" s="31" t="s">
        <v>458</v>
      </c>
      <c r="C211" s="32"/>
      <c r="D211" s="66"/>
      <c r="E211" s="67">
        <v>0</v>
      </c>
      <c r="F211" s="67"/>
      <c r="G211" s="67">
        <v>0</v>
      </c>
      <c r="H211" s="73">
        <f>SUM(H212:H217)</f>
        <v>1958.15</v>
      </c>
      <c r="I211" s="163"/>
      <c r="J211" s="75"/>
      <c r="K211" s="75"/>
      <c r="L211" s="104"/>
      <c r="M211" s="75"/>
      <c r="N211" s="75"/>
      <c r="O211" s="75"/>
      <c r="P211" s="75"/>
      <c r="Q211" s="75"/>
      <c r="R211" s="104"/>
      <c r="S211" s="75"/>
      <c r="T211" s="75"/>
      <c r="U211" s="75"/>
      <c r="V211" s="73">
        <f>SUM(V212:V217)</f>
        <v>1958.15</v>
      </c>
      <c r="W211" s="75"/>
      <c r="X211" s="140"/>
      <c r="Y211" s="76">
        <f>J211</f>
        <v>0</v>
      </c>
      <c r="Z211" s="73">
        <f>SUM(Z212:Z217)</f>
        <v>0</v>
      </c>
      <c r="AA211" s="73">
        <f>SUM(AA212:AA217)</f>
        <v>0</v>
      </c>
      <c r="AB211" s="73">
        <f>SUM(AB212:AB217)</f>
        <v>0</v>
      </c>
      <c r="AC211" s="1"/>
    </row>
    <row r="212" spans="1:29" s="87" customFormat="1" ht="25.5">
      <c r="A212" s="37" t="s">
        <v>459</v>
      </c>
      <c r="B212" s="38" t="s">
        <v>460</v>
      </c>
      <c r="C212" s="61" t="s">
        <v>70</v>
      </c>
      <c r="D212" s="62">
        <v>5</v>
      </c>
      <c r="E212" s="63">
        <v>25.71</v>
      </c>
      <c r="F212" s="39">
        <f t="shared" ref="F212:F217" si="75">U212</f>
        <v>5</v>
      </c>
      <c r="G212" s="63">
        <v>20.9</v>
      </c>
      <c r="H212" s="64">
        <f t="shared" ref="H212:H217" si="76">ROUND(D212*E212,2)</f>
        <v>128.55000000000001</v>
      </c>
      <c r="I212" s="155" t="s">
        <v>85</v>
      </c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>
        <f t="shared" ref="T212:T218" si="77">SUM(J212:S212)</f>
        <v>0</v>
      </c>
      <c r="U212" s="65">
        <f t="shared" ref="U212:U217" si="78">D212-T212</f>
        <v>5</v>
      </c>
      <c r="V212" s="65">
        <f t="shared" ref="V212:V218" si="79">U212*E212</f>
        <v>128.55000000000001</v>
      </c>
      <c r="W212" s="42">
        <f t="shared" ref="W212:W217" si="80">(SUM(J212:R212))/D212</f>
        <v>0</v>
      </c>
      <c r="X212" s="42">
        <f t="shared" ref="X212:X218" si="81">IF(D212=0,0,S212/D212)</f>
        <v>0</v>
      </c>
      <c r="Y212" s="43">
        <f t="shared" ref="Y212:Y218" si="82">W212+X212</f>
        <v>0</v>
      </c>
      <c r="Z212" s="96">
        <f t="shared" ref="Z212:Z217" si="83">(J212+K212+L212+M212+N212)*E212</f>
        <v>0</v>
      </c>
      <c r="AA212" s="96">
        <f t="shared" ref="AA212:AA217" si="84">S212*G212</f>
        <v>0</v>
      </c>
      <c r="AB212" s="96">
        <f t="shared" ref="AB212:AB217" si="85">(J212+K212+L212+M212+N212+O212)*E212</f>
        <v>0</v>
      </c>
      <c r="AC212" s="5"/>
    </row>
    <row r="213" spans="1:29" s="87" customFormat="1">
      <c r="A213" s="37" t="s">
        <v>461</v>
      </c>
      <c r="B213" s="38" t="s">
        <v>462</v>
      </c>
      <c r="C213" s="61" t="s">
        <v>70</v>
      </c>
      <c r="D213" s="62">
        <v>12</v>
      </c>
      <c r="E213" s="63">
        <v>1.65</v>
      </c>
      <c r="F213" s="39">
        <f t="shared" si="75"/>
        <v>12</v>
      </c>
      <c r="G213" s="63">
        <v>1.34</v>
      </c>
      <c r="H213" s="64">
        <f t="shared" si="76"/>
        <v>19.8</v>
      </c>
      <c r="I213" s="155" t="s">
        <v>85</v>
      </c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>
        <f t="shared" si="77"/>
        <v>0</v>
      </c>
      <c r="U213" s="65">
        <f t="shared" si="78"/>
        <v>12</v>
      </c>
      <c r="V213" s="65">
        <f t="shared" si="79"/>
        <v>19.799999999999997</v>
      </c>
      <c r="W213" s="42">
        <f t="shared" si="80"/>
        <v>0</v>
      </c>
      <c r="X213" s="42">
        <f t="shared" si="81"/>
        <v>0</v>
      </c>
      <c r="Y213" s="43">
        <f t="shared" si="82"/>
        <v>0</v>
      </c>
      <c r="Z213" s="96">
        <f t="shared" si="83"/>
        <v>0</v>
      </c>
      <c r="AA213" s="96">
        <f t="shared" si="84"/>
        <v>0</v>
      </c>
      <c r="AB213" s="96">
        <f t="shared" si="85"/>
        <v>0</v>
      </c>
      <c r="AC213" s="5"/>
    </row>
    <row r="214" spans="1:29" s="87" customFormat="1">
      <c r="A214" s="37" t="s">
        <v>463</v>
      </c>
      <c r="B214" s="38" t="s">
        <v>464</v>
      </c>
      <c r="C214" s="61" t="s">
        <v>70</v>
      </c>
      <c r="D214" s="62">
        <v>24</v>
      </c>
      <c r="E214" s="63">
        <v>54.82</v>
      </c>
      <c r="F214" s="39">
        <f t="shared" si="75"/>
        <v>24</v>
      </c>
      <c r="G214" s="63">
        <v>44.57</v>
      </c>
      <c r="H214" s="64">
        <f t="shared" si="76"/>
        <v>1315.68</v>
      </c>
      <c r="I214" s="155" t="s">
        <v>85</v>
      </c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>
        <f t="shared" si="77"/>
        <v>0</v>
      </c>
      <c r="U214" s="65">
        <f t="shared" si="78"/>
        <v>24</v>
      </c>
      <c r="V214" s="65">
        <f t="shared" si="79"/>
        <v>1315.68</v>
      </c>
      <c r="W214" s="42">
        <f t="shared" si="80"/>
        <v>0</v>
      </c>
      <c r="X214" s="42">
        <f t="shared" si="81"/>
        <v>0</v>
      </c>
      <c r="Y214" s="43">
        <f t="shared" si="82"/>
        <v>0</v>
      </c>
      <c r="Z214" s="96">
        <f t="shared" si="83"/>
        <v>0</v>
      </c>
      <c r="AA214" s="96">
        <f t="shared" si="84"/>
        <v>0</v>
      </c>
      <c r="AB214" s="96">
        <f t="shared" si="85"/>
        <v>0</v>
      </c>
      <c r="AC214" s="5"/>
    </row>
    <row r="215" spans="1:29" s="87" customFormat="1">
      <c r="A215" s="37" t="s">
        <v>465</v>
      </c>
      <c r="B215" s="38" t="s">
        <v>466</v>
      </c>
      <c r="C215" s="61" t="s">
        <v>70</v>
      </c>
      <c r="D215" s="62">
        <v>5</v>
      </c>
      <c r="E215" s="63">
        <v>48.17</v>
      </c>
      <c r="F215" s="39">
        <f t="shared" si="75"/>
        <v>5</v>
      </c>
      <c r="G215" s="63">
        <v>39.159999999999997</v>
      </c>
      <c r="H215" s="64">
        <f t="shared" si="76"/>
        <v>240.85</v>
      </c>
      <c r="I215" s="155" t="s">
        <v>85</v>
      </c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>
        <f t="shared" si="77"/>
        <v>0</v>
      </c>
      <c r="U215" s="65">
        <f t="shared" si="78"/>
        <v>5</v>
      </c>
      <c r="V215" s="65">
        <f t="shared" si="79"/>
        <v>240.85000000000002</v>
      </c>
      <c r="W215" s="42">
        <f t="shared" si="80"/>
        <v>0</v>
      </c>
      <c r="X215" s="42">
        <f t="shared" si="81"/>
        <v>0</v>
      </c>
      <c r="Y215" s="43">
        <f t="shared" si="82"/>
        <v>0</v>
      </c>
      <c r="Z215" s="96">
        <f t="shared" si="83"/>
        <v>0</v>
      </c>
      <c r="AA215" s="96">
        <f t="shared" si="84"/>
        <v>0</v>
      </c>
      <c r="AB215" s="96">
        <f t="shared" si="85"/>
        <v>0</v>
      </c>
      <c r="AC215" s="5"/>
    </row>
    <row r="216" spans="1:29" s="87" customFormat="1">
      <c r="A216" s="37" t="s">
        <v>467</v>
      </c>
      <c r="B216" s="38" t="s">
        <v>468</v>
      </c>
      <c r="C216" s="61" t="s">
        <v>70</v>
      </c>
      <c r="D216" s="62">
        <v>18</v>
      </c>
      <c r="E216" s="63">
        <v>10.79</v>
      </c>
      <c r="F216" s="39">
        <f t="shared" si="75"/>
        <v>18</v>
      </c>
      <c r="G216" s="63">
        <v>8.77</v>
      </c>
      <c r="H216" s="64">
        <f t="shared" si="76"/>
        <v>194.22</v>
      </c>
      <c r="I216" s="155" t="s">
        <v>85</v>
      </c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>
        <f t="shared" si="77"/>
        <v>0</v>
      </c>
      <c r="U216" s="65">
        <f t="shared" si="78"/>
        <v>18</v>
      </c>
      <c r="V216" s="65">
        <f t="shared" si="79"/>
        <v>194.21999999999997</v>
      </c>
      <c r="W216" s="42">
        <f t="shared" si="80"/>
        <v>0</v>
      </c>
      <c r="X216" s="42">
        <f t="shared" si="81"/>
        <v>0</v>
      </c>
      <c r="Y216" s="43">
        <f t="shared" si="82"/>
        <v>0</v>
      </c>
      <c r="Z216" s="96">
        <f t="shared" si="83"/>
        <v>0</v>
      </c>
      <c r="AA216" s="96">
        <f t="shared" si="84"/>
        <v>0</v>
      </c>
      <c r="AB216" s="96">
        <f t="shared" si="85"/>
        <v>0</v>
      </c>
      <c r="AC216" s="5"/>
    </row>
    <row r="217" spans="1:29" s="87" customFormat="1">
      <c r="A217" s="37" t="s">
        <v>469</v>
      </c>
      <c r="B217" s="38" t="s">
        <v>470</v>
      </c>
      <c r="C217" s="61" t="s">
        <v>70</v>
      </c>
      <c r="D217" s="62">
        <v>5</v>
      </c>
      <c r="E217" s="63">
        <v>11.81</v>
      </c>
      <c r="F217" s="39">
        <f t="shared" si="75"/>
        <v>5</v>
      </c>
      <c r="G217" s="63">
        <v>9.6</v>
      </c>
      <c r="H217" s="64">
        <f t="shared" si="76"/>
        <v>59.05</v>
      </c>
      <c r="I217" s="155" t="s">
        <v>85</v>
      </c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>
        <f t="shared" si="77"/>
        <v>0</v>
      </c>
      <c r="U217" s="65">
        <f t="shared" si="78"/>
        <v>5</v>
      </c>
      <c r="V217" s="65">
        <f t="shared" si="79"/>
        <v>59.050000000000004</v>
      </c>
      <c r="W217" s="42">
        <f t="shared" si="80"/>
        <v>0</v>
      </c>
      <c r="X217" s="42">
        <f t="shared" si="81"/>
        <v>0</v>
      </c>
      <c r="Y217" s="43">
        <f t="shared" si="82"/>
        <v>0</v>
      </c>
      <c r="Z217" s="96">
        <f t="shared" si="83"/>
        <v>0</v>
      </c>
      <c r="AA217" s="96">
        <f t="shared" si="84"/>
        <v>0</v>
      </c>
      <c r="AB217" s="96">
        <f t="shared" si="85"/>
        <v>0</v>
      </c>
      <c r="AC217" s="5"/>
    </row>
    <row r="218" spans="1:29" s="87" customFormat="1">
      <c r="A218" s="202"/>
      <c r="B218" s="202"/>
      <c r="C218" s="202"/>
      <c r="D218" s="58"/>
      <c r="E218" s="63"/>
      <c r="F218" s="190"/>
      <c r="G218" s="63">
        <v>0</v>
      </c>
      <c r="H218" s="59"/>
      <c r="I218" s="204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65">
        <f t="shared" si="77"/>
        <v>0</v>
      </c>
      <c r="U218" s="79"/>
      <c r="V218" s="65">
        <f t="shared" si="79"/>
        <v>0</v>
      </c>
      <c r="W218" s="42">
        <v>0</v>
      </c>
      <c r="X218" s="42">
        <f t="shared" si="81"/>
        <v>0</v>
      </c>
      <c r="Y218" s="43">
        <f t="shared" si="82"/>
        <v>0</v>
      </c>
      <c r="Z218" s="96">
        <f>(J218+K218+L218+M218)*E218</f>
        <v>0</v>
      </c>
      <c r="AA218" s="96">
        <f>Q218*E218</f>
        <v>0</v>
      </c>
      <c r="AB218" s="96">
        <f>(J218+K218+L218+M218+N218)*E218</f>
        <v>0</v>
      </c>
    </row>
    <row r="219" spans="1:29" s="88" customFormat="1">
      <c r="A219" s="53">
        <v>16</v>
      </c>
      <c r="B219" s="31" t="s">
        <v>471</v>
      </c>
      <c r="C219" s="32"/>
      <c r="D219" s="33"/>
      <c r="E219" s="34">
        <v>0</v>
      </c>
      <c r="F219" s="34"/>
      <c r="G219" s="34">
        <v>0</v>
      </c>
      <c r="H219" s="35">
        <f>SUM(H220:H231)</f>
        <v>41108.339999999997</v>
      </c>
      <c r="I219" s="48"/>
      <c r="J219" s="60"/>
      <c r="K219" s="60"/>
      <c r="L219" s="103"/>
      <c r="M219" s="60"/>
      <c r="N219" s="60"/>
      <c r="O219" s="60"/>
      <c r="P219" s="60"/>
      <c r="Q219" s="60"/>
      <c r="R219" s="103"/>
      <c r="S219" s="60"/>
      <c r="T219" s="60"/>
      <c r="U219" s="60"/>
      <c r="V219" s="35">
        <f>SUM(V220:V231)</f>
        <v>40414.256999999991</v>
      </c>
      <c r="W219" s="36"/>
      <c r="X219" s="140"/>
      <c r="Y219" s="36"/>
      <c r="Z219" s="35">
        <f>SUM(Z220:Z231)</f>
        <v>694.07999999999993</v>
      </c>
      <c r="AA219" s="35">
        <f>SUM(AA220:AA231)</f>
        <v>0</v>
      </c>
      <c r="AB219" s="35">
        <f>SUM(AB220:AB231)</f>
        <v>694.07999999999993</v>
      </c>
      <c r="AC219" s="1"/>
    </row>
    <row r="220" spans="1:29" s="87" customFormat="1" ht="38.25">
      <c r="A220" s="37" t="s">
        <v>472</v>
      </c>
      <c r="B220" s="38" t="s">
        <v>473</v>
      </c>
      <c r="C220" s="61" t="s">
        <v>60</v>
      </c>
      <c r="D220" s="62">
        <v>147</v>
      </c>
      <c r="E220" s="63">
        <v>124.25</v>
      </c>
      <c r="F220" s="39">
        <f>U220</f>
        <v>147</v>
      </c>
      <c r="G220" s="63">
        <v>101.02</v>
      </c>
      <c r="H220" s="64">
        <f t="shared" ref="H220:H231" si="86">ROUND(D220*E220,2)</f>
        <v>18264.75</v>
      </c>
      <c r="I220" s="208" t="s">
        <v>474</v>
      </c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>
        <f t="shared" ref="T220:T232" si="87">SUM(J220:S220)</f>
        <v>0</v>
      </c>
      <c r="U220" s="65">
        <f t="shared" ref="U220:U231" si="88">D220-T220</f>
        <v>147</v>
      </c>
      <c r="V220" s="65">
        <f t="shared" ref="V220:V231" si="89">U220*E220</f>
        <v>18264.75</v>
      </c>
      <c r="W220" s="42">
        <f t="shared" ref="W220:W231" si="90">(SUM(J220:R220))/D220</f>
        <v>0</v>
      </c>
      <c r="X220" s="42">
        <f t="shared" ref="X220:X231" si="91">IF(D220=0,0,S220/D220)</f>
        <v>0</v>
      </c>
      <c r="Y220" s="43">
        <f t="shared" ref="Y220:Y230" si="92">W220+X220</f>
        <v>0</v>
      </c>
      <c r="Z220" s="96">
        <f t="shared" ref="Z220:Z231" si="93">(J220+K220+L220+M220+N220)*E220</f>
        <v>0</v>
      </c>
      <c r="AA220" s="96">
        <f>S220*G220</f>
        <v>0</v>
      </c>
      <c r="AB220" s="96">
        <f t="shared" ref="AB220:AB231" si="94">(J220+K220+L220+M220+N220+O220)*E220</f>
        <v>0</v>
      </c>
      <c r="AC220" s="5"/>
    </row>
    <row r="221" spans="1:29" s="87" customFormat="1" ht="38.25">
      <c r="A221" s="37" t="s">
        <v>475</v>
      </c>
      <c r="B221" s="38" t="s">
        <v>476</v>
      </c>
      <c r="C221" s="61" t="s">
        <v>70</v>
      </c>
      <c r="D221" s="62">
        <v>4</v>
      </c>
      <c r="E221" s="63">
        <v>1078.55</v>
      </c>
      <c r="F221" s="39">
        <f>U221</f>
        <v>4</v>
      </c>
      <c r="G221" s="63">
        <v>876.87</v>
      </c>
      <c r="H221" s="64">
        <f t="shared" si="86"/>
        <v>4314.2</v>
      </c>
      <c r="I221" s="155" t="s">
        <v>85</v>
      </c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>
        <f t="shared" si="87"/>
        <v>0</v>
      </c>
      <c r="U221" s="65">
        <f t="shared" si="88"/>
        <v>4</v>
      </c>
      <c r="V221" s="65">
        <f t="shared" si="89"/>
        <v>4314.2</v>
      </c>
      <c r="W221" s="42">
        <f t="shared" si="90"/>
        <v>0</v>
      </c>
      <c r="X221" s="42">
        <f t="shared" si="91"/>
        <v>0</v>
      </c>
      <c r="Y221" s="43">
        <f t="shared" si="92"/>
        <v>0</v>
      </c>
      <c r="Z221" s="96">
        <f t="shared" si="93"/>
        <v>0</v>
      </c>
      <c r="AA221" s="96">
        <f>S221*G221</f>
        <v>0</v>
      </c>
      <c r="AB221" s="96">
        <f t="shared" si="94"/>
        <v>0</v>
      </c>
      <c r="AC221" s="5"/>
    </row>
    <row r="222" spans="1:29" s="87" customFormat="1" ht="38.25">
      <c r="A222" s="37" t="s">
        <v>477</v>
      </c>
      <c r="B222" s="38" t="s">
        <v>478</v>
      </c>
      <c r="C222" s="61" t="s">
        <v>189</v>
      </c>
      <c r="D222" s="62">
        <v>4.8</v>
      </c>
      <c r="E222" s="63">
        <v>146.54</v>
      </c>
      <c r="F222" s="39">
        <f>U222</f>
        <v>4.8</v>
      </c>
      <c r="G222" s="63">
        <v>119.14</v>
      </c>
      <c r="H222" s="64">
        <f t="shared" si="86"/>
        <v>703.39</v>
      </c>
      <c r="I222" s="208" t="s">
        <v>479</v>
      </c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>
        <f t="shared" si="87"/>
        <v>0</v>
      </c>
      <c r="U222" s="65">
        <f t="shared" si="88"/>
        <v>4.8</v>
      </c>
      <c r="V222" s="65">
        <f t="shared" si="89"/>
        <v>703.39199999999994</v>
      </c>
      <c r="W222" s="42">
        <f t="shared" si="90"/>
        <v>0</v>
      </c>
      <c r="X222" s="42">
        <f t="shared" si="91"/>
        <v>0</v>
      </c>
      <c r="Y222" s="43">
        <f t="shared" si="92"/>
        <v>0</v>
      </c>
      <c r="Z222" s="96">
        <f t="shared" si="93"/>
        <v>0</v>
      </c>
      <c r="AA222" s="96">
        <f>S222*G222</f>
        <v>0</v>
      </c>
      <c r="AB222" s="96">
        <f t="shared" si="94"/>
        <v>0</v>
      </c>
      <c r="AC222" s="5"/>
    </row>
    <row r="223" spans="1:29" s="87" customFormat="1" ht="25.5">
      <c r="A223" s="130" t="s">
        <v>480</v>
      </c>
      <c r="B223" s="188" t="s">
        <v>481</v>
      </c>
      <c r="C223" s="189" t="s">
        <v>189</v>
      </c>
      <c r="D223" s="62">
        <v>4.8</v>
      </c>
      <c r="E223" s="63">
        <v>144.6</v>
      </c>
      <c r="F223" s="190"/>
      <c r="G223" s="63">
        <v>117.56</v>
      </c>
      <c r="H223" s="64">
        <f t="shared" si="86"/>
        <v>694.08</v>
      </c>
      <c r="I223" s="165" t="s">
        <v>482</v>
      </c>
      <c r="J223" s="65"/>
      <c r="K223" s="65">
        <v>4.8</v>
      </c>
      <c r="L223" s="65"/>
      <c r="M223" s="65"/>
      <c r="N223" s="65"/>
      <c r="O223" s="65"/>
      <c r="P223" s="65"/>
      <c r="Q223" s="65"/>
      <c r="R223" s="65"/>
      <c r="S223" s="65"/>
      <c r="T223" s="65">
        <f>SUM(J223:S223)</f>
        <v>4.8</v>
      </c>
      <c r="U223" s="65">
        <f t="shared" si="88"/>
        <v>0</v>
      </c>
      <c r="V223" s="65">
        <f t="shared" si="89"/>
        <v>0</v>
      </c>
      <c r="W223" s="42">
        <f t="shared" si="90"/>
        <v>1</v>
      </c>
      <c r="X223" s="42">
        <f t="shared" si="91"/>
        <v>0</v>
      </c>
      <c r="Y223" s="43">
        <f t="shared" si="92"/>
        <v>1</v>
      </c>
      <c r="Z223" s="96">
        <f t="shared" si="93"/>
        <v>694.07999999999993</v>
      </c>
      <c r="AA223" s="96">
        <f>Q223*E223</f>
        <v>0</v>
      </c>
      <c r="AB223" s="96">
        <f t="shared" si="94"/>
        <v>694.07999999999993</v>
      </c>
      <c r="AC223" s="5"/>
    </row>
    <row r="224" spans="1:29" ht="38.25">
      <c r="A224" s="37" t="s">
        <v>483</v>
      </c>
      <c r="B224" s="38" t="s">
        <v>484</v>
      </c>
      <c r="C224" s="37" t="s">
        <v>70</v>
      </c>
      <c r="D224" s="39">
        <v>2</v>
      </c>
      <c r="E224" s="40">
        <v>187.17</v>
      </c>
      <c r="F224" s="39">
        <f t="shared" ref="F224:F231" si="95">U224</f>
        <v>2</v>
      </c>
      <c r="G224" s="40">
        <v>152.16999999999999</v>
      </c>
      <c r="H224" s="41">
        <f t="shared" si="86"/>
        <v>374.34</v>
      </c>
      <c r="I224" s="154" t="s">
        <v>85</v>
      </c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>
        <f t="shared" si="87"/>
        <v>0</v>
      </c>
      <c r="U224" s="65">
        <f t="shared" si="88"/>
        <v>2</v>
      </c>
      <c r="V224" s="65">
        <f t="shared" si="89"/>
        <v>374.34</v>
      </c>
      <c r="W224" s="42">
        <f t="shared" si="90"/>
        <v>0</v>
      </c>
      <c r="X224" s="42">
        <f t="shared" si="91"/>
        <v>0</v>
      </c>
      <c r="Y224" s="43">
        <f t="shared" si="92"/>
        <v>0</v>
      </c>
      <c r="Z224" s="96">
        <f t="shared" si="93"/>
        <v>0</v>
      </c>
      <c r="AA224" s="96">
        <f t="shared" ref="AA224:AA231" si="96">S224*G224</f>
        <v>0</v>
      </c>
      <c r="AB224" s="96">
        <f t="shared" si="94"/>
        <v>0</v>
      </c>
      <c r="AC224" s="5"/>
    </row>
    <row r="225" spans="1:29" ht="38.25">
      <c r="A225" s="37" t="s">
        <v>485</v>
      </c>
      <c r="B225" s="38" t="s">
        <v>486</v>
      </c>
      <c r="C225" s="37" t="s">
        <v>70</v>
      </c>
      <c r="D225" s="39">
        <v>8</v>
      </c>
      <c r="E225" s="40">
        <v>106.95</v>
      </c>
      <c r="F225" s="39">
        <f t="shared" si="95"/>
        <v>8</v>
      </c>
      <c r="G225" s="40">
        <v>86.95</v>
      </c>
      <c r="H225" s="41">
        <f t="shared" si="86"/>
        <v>855.6</v>
      </c>
      <c r="I225" s="208" t="s">
        <v>487</v>
      </c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>
        <f t="shared" si="87"/>
        <v>0</v>
      </c>
      <c r="U225" s="65">
        <f t="shared" si="88"/>
        <v>8</v>
      </c>
      <c r="V225" s="65">
        <f t="shared" si="89"/>
        <v>855.6</v>
      </c>
      <c r="W225" s="42">
        <f t="shared" si="90"/>
        <v>0</v>
      </c>
      <c r="X225" s="42">
        <f t="shared" si="91"/>
        <v>0</v>
      </c>
      <c r="Y225" s="43">
        <f t="shared" si="92"/>
        <v>0</v>
      </c>
      <c r="Z225" s="96">
        <f t="shared" si="93"/>
        <v>0</v>
      </c>
      <c r="AA225" s="96">
        <f t="shared" si="96"/>
        <v>0</v>
      </c>
      <c r="AB225" s="96">
        <f t="shared" si="94"/>
        <v>0</v>
      </c>
      <c r="AC225" s="5"/>
    </row>
    <row r="226" spans="1:29" s="87" customFormat="1">
      <c r="A226" s="37" t="s">
        <v>488</v>
      </c>
      <c r="B226" s="38" t="s">
        <v>489</v>
      </c>
      <c r="C226" s="61" t="s">
        <v>60</v>
      </c>
      <c r="D226" s="62">
        <v>4.5</v>
      </c>
      <c r="E226" s="63">
        <v>332.7</v>
      </c>
      <c r="F226" s="39">
        <f t="shared" si="95"/>
        <v>4.5</v>
      </c>
      <c r="G226" s="63">
        <v>270.49</v>
      </c>
      <c r="H226" s="64">
        <f t="shared" si="86"/>
        <v>1497.15</v>
      </c>
      <c r="I226" s="208" t="s">
        <v>490</v>
      </c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>
        <f t="shared" si="87"/>
        <v>0</v>
      </c>
      <c r="U226" s="65">
        <f t="shared" si="88"/>
        <v>4.5</v>
      </c>
      <c r="V226" s="65">
        <f t="shared" si="89"/>
        <v>1497.1499999999999</v>
      </c>
      <c r="W226" s="42">
        <f t="shared" si="90"/>
        <v>0</v>
      </c>
      <c r="X226" s="42">
        <f t="shared" si="91"/>
        <v>0</v>
      </c>
      <c r="Y226" s="43">
        <f t="shared" si="92"/>
        <v>0</v>
      </c>
      <c r="Z226" s="96">
        <f t="shared" si="93"/>
        <v>0</v>
      </c>
      <c r="AA226" s="96">
        <f t="shared" si="96"/>
        <v>0</v>
      </c>
      <c r="AB226" s="96">
        <f t="shared" si="94"/>
        <v>0</v>
      </c>
      <c r="AC226" s="5"/>
    </row>
    <row r="227" spans="1:29" s="87" customFormat="1">
      <c r="A227" s="37" t="s">
        <v>491</v>
      </c>
      <c r="B227" s="38" t="s">
        <v>492</v>
      </c>
      <c r="C227" s="61" t="s">
        <v>493</v>
      </c>
      <c r="D227" s="62">
        <v>1</v>
      </c>
      <c r="E227" s="63">
        <v>8150.35</v>
      </c>
      <c r="F227" s="39">
        <f t="shared" si="95"/>
        <v>1</v>
      </c>
      <c r="G227" s="63">
        <v>6626.3</v>
      </c>
      <c r="H227" s="64">
        <f t="shared" si="86"/>
        <v>8150.35</v>
      </c>
      <c r="I227" s="155" t="s">
        <v>85</v>
      </c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>
        <f t="shared" si="87"/>
        <v>0</v>
      </c>
      <c r="U227" s="65">
        <f t="shared" si="88"/>
        <v>1</v>
      </c>
      <c r="V227" s="65">
        <f t="shared" si="89"/>
        <v>8150.35</v>
      </c>
      <c r="W227" s="42">
        <f t="shared" si="90"/>
        <v>0</v>
      </c>
      <c r="X227" s="42">
        <f t="shared" si="91"/>
        <v>0</v>
      </c>
      <c r="Y227" s="43">
        <f t="shared" si="92"/>
        <v>0</v>
      </c>
      <c r="Z227" s="96">
        <f t="shared" si="93"/>
        <v>0</v>
      </c>
      <c r="AA227" s="96">
        <f t="shared" si="96"/>
        <v>0</v>
      </c>
      <c r="AB227" s="96">
        <f t="shared" si="94"/>
        <v>0</v>
      </c>
      <c r="AC227" s="5"/>
    </row>
    <row r="228" spans="1:29" s="87" customFormat="1">
      <c r="A228" s="37" t="s">
        <v>494</v>
      </c>
      <c r="B228" s="38" t="s">
        <v>495</v>
      </c>
      <c r="C228" s="61" t="s">
        <v>493</v>
      </c>
      <c r="D228" s="62">
        <v>1</v>
      </c>
      <c r="E228" s="63">
        <v>3425.41</v>
      </c>
      <c r="F228" s="39">
        <f t="shared" si="95"/>
        <v>1</v>
      </c>
      <c r="G228" s="63">
        <v>2784.89</v>
      </c>
      <c r="H228" s="64">
        <f t="shared" si="86"/>
        <v>3425.41</v>
      </c>
      <c r="I228" s="155" t="s">
        <v>85</v>
      </c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>
        <f t="shared" si="87"/>
        <v>0</v>
      </c>
      <c r="U228" s="65">
        <f t="shared" si="88"/>
        <v>1</v>
      </c>
      <c r="V228" s="65">
        <f t="shared" si="89"/>
        <v>3425.41</v>
      </c>
      <c r="W228" s="42">
        <f t="shared" si="90"/>
        <v>0</v>
      </c>
      <c r="X228" s="42">
        <f t="shared" si="91"/>
        <v>0</v>
      </c>
      <c r="Y228" s="43">
        <f t="shared" si="92"/>
        <v>0</v>
      </c>
      <c r="Z228" s="96">
        <f t="shared" si="93"/>
        <v>0</v>
      </c>
      <c r="AA228" s="96">
        <f t="shared" si="96"/>
        <v>0</v>
      </c>
      <c r="AB228" s="96">
        <f t="shared" si="94"/>
        <v>0</v>
      </c>
      <c r="AC228" s="5"/>
    </row>
    <row r="229" spans="1:29" s="87" customFormat="1">
      <c r="A229" s="37" t="s">
        <v>496</v>
      </c>
      <c r="B229" s="38" t="s">
        <v>497</v>
      </c>
      <c r="C229" s="61" t="s">
        <v>493</v>
      </c>
      <c r="D229" s="62">
        <v>1</v>
      </c>
      <c r="E229" s="63">
        <v>965.34</v>
      </c>
      <c r="F229" s="39">
        <f t="shared" si="95"/>
        <v>1</v>
      </c>
      <c r="G229" s="63">
        <v>784.83</v>
      </c>
      <c r="H229" s="64">
        <f t="shared" si="86"/>
        <v>965.34</v>
      </c>
      <c r="I229" s="155" t="s">
        <v>85</v>
      </c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>
        <f t="shared" si="87"/>
        <v>0</v>
      </c>
      <c r="U229" s="65">
        <f t="shared" si="88"/>
        <v>1</v>
      </c>
      <c r="V229" s="65">
        <f t="shared" si="89"/>
        <v>965.34</v>
      </c>
      <c r="W229" s="42">
        <f t="shared" si="90"/>
        <v>0</v>
      </c>
      <c r="X229" s="42">
        <f t="shared" si="91"/>
        <v>0</v>
      </c>
      <c r="Y229" s="43">
        <f t="shared" si="92"/>
        <v>0</v>
      </c>
      <c r="Z229" s="96">
        <f t="shared" si="93"/>
        <v>0</v>
      </c>
      <c r="AA229" s="96">
        <f t="shared" si="96"/>
        <v>0</v>
      </c>
      <c r="AB229" s="96">
        <f t="shared" si="94"/>
        <v>0</v>
      </c>
      <c r="AC229" s="5"/>
    </row>
    <row r="230" spans="1:29" s="87" customFormat="1">
      <c r="A230" s="37" t="s">
        <v>498</v>
      </c>
      <c r="B230" s="38" t="s">
        <v>499</v>
      </c>
      <c r="C230" s="61" t="s">
        <v>189</v>
      </c>
      <c r="D230" s="62">
        <v>2.9</v>
      </c>
      <c r="E230" s="63">
        <v>33.630000000000003</v>
      </c>
      <c r="F230" s="39">
        <f t="shared" si="95"/>
        <v>2.9</v>
      </c>
      <c r="G230" s="63">
        <v>27.34</v>
      </c>
      <c r="H230" s="64">
        <f t="shared" si="86"/>
        <v>97.53</v>
      </c>
      <c r="I230" s="155" t="s">
        <v>85</v>
      </c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>
        <f t="shared" si="87"/>
        <v>0</v>
      </c>
      <c r="U230" s="65">
        <f t="shared" si="88"/>
        <v>2.9</v>
      </c>
      <c r="V230" s="65">
        <f t="shared" si="89"/>
        <v>97.527000000000001</v>
      </c>
      <c r="W230" s="42">
        <f t="shared" si="90"/>
        <v>0</v>
      </c>
      <c r="X230" s="42">
        <f t="shared" si="91"/>
        <v>0</v>
      </c>
      <c r="Y230" s="43">
        <f t="shared" si="92"/>
        <v>0</v>
      </c>
      <c r="Z230" s="96">
        <f t="shared" si="93"/>
        <v>0</v>
      </c>
      <c r="AA230" s="96">
        <f t="shared" si="96"/>
        <v>0</v>
      </c>
      <c r="AB230" s="96">
        <f t="shared" si="94"/>
        <v>0</v>
      </c>
      <c r="AC230" s="5"/>
    </row>
    <row r="231" spans="1:29">
      <c r="A231" s="37" t="s">
        <v>500</v>
      </c>
      <c r="B231" s="38" t="s">
        <v>501</v>
      </c>
      <c r="C231" s="37" t="s">
        <v>60</v>
      </c>
      <c r="D231" s="39">
        <v>861.56</v>
      </c>
      <c r="E231" s="40">
        <v>2.0499999999999998</v>
      </c>
      <c r="F231" s="39">
        <f t="shared" si="95"/>
        <v>861.56</v>
      </c>
      <c r="G231" s="40">
        <v>1.67</v>
      </c>
      <c r="H231" s="41">
        <f t="shared" si="86"/>
        <v>1766.2</v>
      </c>
      <c r="I231" s="154" t="s">
        <v>85</v>
      </c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>
        <f t="shared" si="87"/>
        <v>0</v>
      </c>
      <c r="U231" s="65">
        <f t="shared" si="88"/>
        <v>861.56</v>
      </c>
      <c r="V231" s="65">
        <f t="shared" si="89"/>
        <v>1766.1979999999996</v>
      </c>
      <c r="W231" s="42">
        <f t="shared" si="90"/>
        <v>0</v>
      </c>
      <c r="X231" s="42">
        <f t="shared" si="91"/>
        <v>0</v>
      </c>
      <c r="Y231" s="43">
        <f>W231+X231</f>
        <v>0</v>
      </c>
      <c r="Z231" s="96">
        <f t="shared" si="93"/>
        <v>0</v>
      </c>
      <c r="AA231" s="96">
        <f t="shared" si="96"/>
        <v>0</v>
      </c>
      <c r="AB231" s="96">
        <f t="shared" si="94"/>
        <v>0</v>
      </c>
      <c r="AC231" s="5"/>
    </row>
    <row r="232" spans="1:29" s="87" customFormat="1">
      <c r="A232" s="202"/>
      <c r="B232" s="202"/>
      <c r="C232" s="202"/>
      <c r="D232" s="58"/>
      <c r="E232" s="59"/>
      <c r="F232" s="203"/>
      <c r="G232" s="59"/>
      <c r="H232" s="59"/>
      <c r="I232" s="204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65">
        <f t="shared" si="87"/>
        <v>0</v>
      </c>
      <c r="U232" s="79"/>
      <c r="V232" s="79"/>
      <c r="W232" s="59"/>
      <c r="X232" s="137"/>
      <c r="Y232" s="59"/>
      <c r="Z232" s="97"/>
      <c r="AA232" s="96">
        <f>Q232*E232</f>
        <v>0</v>
      </c>
      <c r="AB232" s="98"/>
    </row>
    <row r="233" spans="1:29" s="88" customFormat="1">
      <c r="A233" s="336" t="s">
        <v>502</v>
      </c>
      <c r="B233" s="336"/>
      <c r="C233" s="336"/>
      <c r="D233" s="336"/>
      <c r="E233" s="48"/>
      <c r="F233" s="48"/>
      <c r="G233" s="48"/>
      <c r="H233" s="35">
        <f>H27+H35+H42+H53+H65+H72+H76+H82+H89+H96+H106+H149+H172+H179+H211+H219</f>
        <v>550199.43999999994</v>
      </c>
      <c r="I233" s="48"/>
      <c r="J233" s="60"/>
      <c r="K233" s="60"/>
      <c r="L233" s="103"/>
      <c r="M233" s="60"/>
      <c r="N233" s="60"/>
      <c r="O233" s="60"/>
      <c r="P233" s="60"/>
      <c r="Q233" s="60"/>
      <c r="R233" s="103"/>
      <c r="S233" s="60"/>
      <c r="T233" s="60"/>
      <c r="U233" s="60"/>
      <c r="V233" s="35" t="e">
        <f>V27+V35+V42+V53+V65+V72+V76+V82+V89+V96+V106+V149+V172+V179+V211+V219</f>
        <v>#REF!</v>
      </c>
      <c r="W233" s="36">
        <f>Z233/H233</f>
        <v>0.44586926919627551</v>
      </c>
      <c r="X233" s="36" t="e">
        <f>AA233/H233</f>
        <v>#REF!</v>
      </c>
      <c r="Y233" s="36">
        <f>AB233/H233</f>
        <v>0.48745338603943339</v>
      </c>
      <c r="Z233" s="35">
        <f>Z27+Z35+Z42+Z53+Z65+Z72+Z76+Z82+Z89+Z96+Z106+Z149+Z172+Z179+Z211+Z219</f>
        <v>245317.02222500002</v>
      </c>
      <c r="AA233" s="35" t="e">
        <f>AA27+AA35+AA42+AA53+AA65+AA72+AA76+AA82+AA89+AA96+AA106+AA149+AA172+AA179+AA211+AA219</f>
        <v>#REF!</v>
      </c>
      <c r="AB233" s="35">
        <f>AB27+AB35+AB42+AB53+AB65+AB72+AB76+AB82+AB89+AB96+AB106+AB149+AB172+AB179+AB211+AB219</f>
        <v>268196.58002500003</v>
      </c>
    </row>
    <row r="234" spans="1:29">
      <c r="F234" s="92"/>
      <c r="W234" s="92"/>
      <c r="X234" s="141"/>
      <c r="Y234" s="92"/>
      <c r="Z234" s="91"/>
      <c r="AA234" s="96">
        <f t="shared" ref="AA234:AA265" si="97">Q234*E234</f>
        <v>0</v>
      </c>
      <c r="AB234" s="84"/>
    </row>
    <row r="235" spans="1:29">
      <c r="F235" s="92"/>
      <c r="W235" s="92"/>
      <c r="X235" s="141"/>
      <c r="Y235" s="92"/>
      <c r="Z235" s="91"/>
      <c r="AA235" s="96">
        <f t="shared" si="97"/>
        <v>0</v>
      </c>
      <c r="AB235" s="84"/>
    </row>
    <row r="236" spans="1:29">
      <c r="F236" s="92"/>
      <c r="W236" s="92"/>
      <c r="X236" s="141"/>
      <c r="Y236" s="92"/>
      <c r="Z236" s="91"/>
      <c r="AA236" s="96">
        <f t="shared" si="97"/>
        <v>0</v>
      </c>
      <c r="AB236" s="84"/>
    </row>
    <row r="237" spans="1:29">
      <c r="F237" s="92"/>
      <c r="W237" s="92"/>
      <c r="X237" s="141"/>
      <c r="Y237" s="92"/>
      <c r="Z237" s="91"/>
      <c r="AA237" s="96">
        <f t="shared" si="97"/>
        <v>0</v>
      </c>
      <c r="AB237" s="84"/>
    </row>
    <row r="238" spans="1:29">
      <c r="F238" s="92"/>
      <c r="W238" s="92"/>
      <c r="X238" s="141"/>
      <c r="Y238" s="92"/>
      <c r="Z238" s="91"/>
      <c r="AA238" s="96">
        <f t="shared" si="97"/>
        <v>0</v>
      </c>
      <c r="AB238" s="84"/>
    </row>
    <row r="239" spans="1:29">
      <c r="F239" s="92"/>
      <c r="W239" s="92"/>
      <c r="X239" s="141"/>
      <c r="Y239" s="92"/>
      <c r="Z239" s="91"/>
      <c r="AA239" s="96">
        <f t="shared" si="97"/>
        <v>0</v>
      </c>
      <c r="AB239" s="84"/>
    </row>
    <row r="240" spans="1:29">
      <c r="T240" s="65">
        <f t="shared" ref="T240:T303" si="98">SUM(J240:R240)</f>
        <v>0</v>
      </c>
      <c r="Z240" s="91"/>
      <c r="AA240" s="96">
        <f t="shared" si="97"/>
        <v>0</v>
      </c>
      <c r="AB240" s="84"/>
    </row>
    <row r="241" spans="16:28">
      <c r="T241" s="65">
        <f t="shared" si="98"/>
        <v>0</v>
      </c>
      <c r="Z241" s="91"/>
      <c r="AA241" s="96">
        <f t="shared" si="97"/>
        <v>0</v>
      </c>
      <c r="AB241" s="84"/>
    </row>
    <row r="242" spans="16:28">
      <c r="T242" s="65">
        <f t="shared" si="98"/>
        <v>0</v>
      </c>
      <c r="Z242" s="91"/>
      <c r="AA242" s="96">
        <f t="shared" si="97"/>
        <v>0</v>
      </c>
      <c r="AB242" s="84"/>
    </row>
    <row r="243" spans="16:28">
      <c r="P243" s="94">
        <f>P244+R73</f>
        <v>1010.5600000000001</v>
      </c>
      <c r="Q243" s="94">
        <f>Q244-P243</f>
        <v>103.43999999999994</v>
      </c>
      <c r="T243" s="65">
        <f t="shared" si="98"/>
        <v>1114</v>
      </c>
      <c r="Z243" s="91"/>
      <c r="AA243" s="96">
        <f t="shared" si="97"/>
        <v>0</v>
      </c>
      <c r="AB243" s="84"/>
    </row>
    <row r="244" spans="16:28">
      <c r="P244" s="94">
        <f>Q73+P73+O73+N73</f>
        <v>851.42000000000007</v>
      </c>
      <c r="Q244" s="94">
        <v>1114</v>
      </c>
      <c r="T244" s="65">
        <f t="shared" si="98"/>
        <v>1965.42</v>
      </c>
      <c r="Z244" s="91"/>
      <c r="AA244" s="96">
        <f t="shared" si="97"/>
        <v>0</v>
      </c>
      <c r="AB244" s="84"/>
    </row>
    <row r="245" spans="16:28">
      <c r="Q245" s="94">
        <f>Q244-P244</f>
        <v>262.57999999999993</v>
      </c>
      <c r="T245" s="65">
        <f t="shared" si="98"/>
        <v>262.57999999999993</v>
      </c>
      <c r="Z245" s="91"/>
      <c r="AA245" s="96">
        <f t="shared" si="97"/>
        <v>0</v>
      </c>
      <c r="AB245" s="84"/>
    </row>
    <row r="246" spans="16:28">
      <c r="T246" s="65">
        <f t="shared" si="98"/>
        <v>0</v>
      </c>
      <c r="Z246" s="91"/>
      <c r="AA246" s="96">
        <f t="shared" si="97"/>
        <v>0</v>
      </c>
      <c r="AB246" s="84"/>
    </row>
    <row r="247" spans="16:28">
      <c r="T247" s="65">
        <f t="shared" si="98"/>
        <v>0</v>
      </c>
      <c r="Z247" s="91"/>
      <c r="AA247" s="96">
        <f t="shared" si="97"/>
        <v>0</v>
      </c>
      <c r="AB247" s="84"/>
    </row>
    <row r="248" spans="16:28">
      <c r="T248" s="65">
        <f t="shared" si="98"/>
        <v>0</v>
      </c>
      <c r="Z248" s="91"/>
      <c r="AA248" s="96">
        <f t="shared" si="97"/>
        <v>0</v>
      </c>
      <c r="AB248" s="84"/>
    </row>
    <row r="249" spans="16:28">
      <c r="T249" s="65">
        <f t="shared" si="98"/>
        <v>0</v>
      </c>
      <c r="Z249" s="91"/>
      <c r="AA249" s="96">
        <f t="shared" si="97"/>
        <v>0</v>
      </c>
      <c r="AB249" s="84"/>
    </row>
    <row r="250" spans="16:28">
      <c r="T250" s="65">
        <f t="shared" si="98"/>
        <v>0</v>
      </c>
      <c r="Z250" s="91"/>
      <c r="AA250" s="96">
        <f t="shared" si="97"/>
        <v>0</v>
      </c>
      <c r="AB250" s="84"/>
    </row>
    <row r="251" spans="16:28">
      <c r="T251" s="65">
        <f t="shared" si="98"/>
        <v>0</v>
      </c>
      <c r="Z251" s="91"/>
      <c r="AA251" s="96">
        <f t="shared" si="97"/>
        <v>0</v>
      </c>
      <c r="AB251" s="84"/>
    </row>
    <row r="252" spans="16:28">
      <c r="T252" s="65">
        <f t="shared" si="98"/>
        <v>0</v>
      </c>
      <c r="Z252" s="91"/>
      <c r="AA252" s="96">
        <f t="shared" si="97"/>
        <v>0</v>
      </c>
      <c r="AB252" s="84"/>
    </row>
    <row r="253" spans="16:28">
      <c r="T253" s="65">
        <f t="shared" si="98"/>
        <v>0</v>
      </c>
      <c r="Z253" s="91"/>
      <c r="AA253" s="96">
        <f t="shared" si="97"/>
        <v>0</v>
      </c>
      <c r="AB253" s="84"/>
    </row>
    <row r="254" spans="16:28">
      <c r="T254" s="65">
        <f t="shared" si="98"/>
        <v>0</v>
      </c>
      <c r="Z254" s="91"/>
      <c r="AA254" s="96">
        <f t="shared" si="97"/>
        <v>0</v>
      </c>
      <c r="AB254" s="84"/>
    </row>
    <row r="255" spans="16:28">
      <c r="T255" s="65">
        <f t="shared" si="98"/>
        <v>0</v>
      </c>
      <c r="Z255" s="91"/>
      <c r="AA255" s="96">
        <f t="shared" si="97"/>
        <v>0</v>
      </c>
      <c r="AB255" s="84"/>
    </row>
    <row r="256" spans="16:28">
      <c r="T256" s="65">
        <f t="shared" si="98"/>
        <v>0</v>
      </c>
      <c r="Z256" s="91"/>
      <c r="AA256" s="96">
        <f t="shared" si="97"/>
        <v>0</v>
      </c>
      <c r="AB256" s="84"/>
    </row>
    <row r="257" spans="20:28">
      <c r="T257" s="65">
        <f t="shared" si="98"/>
        <v>0</v>
      </c>
      <c r="Z257" s="91"/>
      <c r="AA257" s="96">
        <f t="shared" si="97"/>
        <v>0</v>
      </c>
      <c r="AB257" s="84"/>
    </row>
    <row r="258" spans="20:28">
      <c r="T258" s="65">
        <f t="shared" si="98"/>
        <v>0</v>
      </c>
      <c r="Z258" s="91"/>
      <c r="AA258" s="96">
        <f t="shared" si="97"/>
        <v>0</v>
      </c>
      <c r="AB258" s="84"/>
    </row>
    <row r="259" spans="20:28">
      <c r="T259" s="65">
        <f t="shared" si="98"/>
        <v>0</v>
      </c>
      <c r="Z259" s="91"/>
      <c r="AA259" s="96">
        <f t="shared" si="97"/>
        <v>0</v>
      </c>
      <c r="AB259" s="84"/>
    </row>
    <row r="260" spans="20:28">
      <c r="T260" s="65">
        <f t="shared" si="98"/>
        <v>0</v>
      </c>
      <c r="Z260" s="91"/>
      <c r="AA260" s="96">
        <f t="shared" si="97"/>
        <v>0</v>
      </c>
      <c r="AB260" s="84"/>
    </row>
    <row r="261" spans="20:28">
      <c r="T261" s="65">
        <f t="shared" si="98"/>
        <v>0</v>
      </c>
      <c r="Z261" s="91"/>
      <c r="AA261" s="96">
        <f t="shared" si="97"/>
        <v>0</v>
      </c>
      <c r="AB261" s="84"/>
    </row>
    <row r="262" spans="20:28">
      <c r="T262" s="65">
        <f t="shared" si="98"/>
        <v>0</v>
      </c>
      <c r="Z262" s="91"/>
      <c r="AA262" s="96">
        <f t="shared" si="97"/>
        <v>0</v>
      </c>
      <c r="AB262" s="84"/>
    </row>
    <row r="263" spans="20:28">
      <c r="T263" s="65">
        <f t="shared" si="98"/>
        <v>0</v>
      </c>
      <c r="Z263" s="91"/>
      <c r="AA263" s="96">
        <f t="shared" si="97"/>
        <v>0</v>
      </c>
      <c r="AB263" s="84"/>
    </row>
    <row r="264" spans="20:28">
      <c r="T264" s="65">
        <f t="shared" si="98"/>
        <v>0</v>
      </c>
      <c r="Z264" s="91"/>
      <c r="AA264" s="96">
        <f t="shared" si="97"/>
        <v>0</v>
      </c>
      <c r="AB264" s="84"/>
    </row>
    <row r="265" spans="20:28">
      <c r="T265" s="65">
        <f t="shared" si="98"/>
        <v>0</v>
      </c>
      <c r="Z265" s="91"/>
      <c r="AA265" s="96">
        <f t="shared" si="97"/>
        <v>0</v>
      </c>
      <c r="AB265" s="84"/>
    </row>
    <row r="266" spans="20:28">
      <c r="T266" s="65">
        <f t="shared" si="98"/>
        <v>0</v>
      </c>
      <c r="Z266" s="91"/>
      <c r="AA266" s="96">
        <f t="shared" ref="AA266:AA297" si="99">Q266*E266</f>
        <v>0</v>
      </c>
      <c r="AB266" s="84"/>
    </row>
    <row r="267" spans="20:28">
      <c r="T267" s="65">
        <f t="shared" si="98"/>
        <v>0</v>
      </c>
      <c r="Z267" s="91"/>
      <c r="AA267" s="96">
        <f t="shared" si="99"/>
        <v>0</v>
      </c>
      <c r="AB267" s="84"/>
    </row>
    <row r="268" spans="20:28">
      <c r="T268" s="65">
        <f t="shared" si="98"/>
        <v>0</v>
      </c>
      <c r="Z268" s="91"/>
      <c r="AA268" s="96">
        <f t="shared" si="99"/>
        <v>0</v>
      </c>
      <c r="AB268" s="84"/>
    </row>
    <row r="269" spans="20:28">
      <c r="T269" s="65">
        <f t="shared" si="98"/>
        <v>0</v>
      </c>
      <c r="Z269" s="91"/>
      <c r="AA269" s="96">
        <f t="shared" si="99"/>
        <v>0</v>
      </c>
      <c r="AB269" s="84"/>
    </row>
    <row r="270" spans="20:28">
      <c r="T270" s="65">
        <f t="shared" si="98"/>
        <v>0</v>
      </c>
      <c r="Z270" s="91"/>
      <c r="AA270" s="96">
        <f t="shared" si="99"/>
        <v>0</v>
      </c>
      <c r="AB270" s="84"/>
    </row>
    <row r="271" spans="20:28">
      <c r="T271" s="65">
        <f t="shared" si="98"/>
        <v>0</v>
      </c>
      <c r="Z271" s="91"/>
      <c r="AA271" s="96">
        <f t="shared" si="99"/>
        <v>0</v>
      </c>
      <c r="AB271" s="84"/>
    </row>
    <row r="272" spans="20:28">
      <c r="T272" s="65">
        <f t="shared" si="98"/>
        <v>0</v>
      </c>
      <c r="Z272" s="91"/>
      <c r="AA272" s="96">
        <f t="shared" si="99"/>
        <v>0</v>
      </c>
      <c r="AB272" s="84"/>
    </row>
    <row r="273" spans="20:28">
      <c r="T273" s="65">
        <f t="shared" si="98"/>
        <v>0</v>
      </c>
      <c r="Z273" s="91"/>
      <c r="AA273" s="96">
        <f t="shared" si="99"/>
        <v>0</v>
      </c>
      <c r="AB273" s="84"/>
    </row>
    <row r="274" spans="20:28">
      <c r="T274" s="65">
        <f t="shared" si="98"/>
        <v>0</v>
      </c>
      <c r="Z274" s="91"/>
      <c r="AA274" s="96">
        <f t="shared" si="99"/>
        <v>0</v>
      </c>
      <c r="AB274" s="84"/>
    </row>
    <row r="275" spans="20:28">
      <c r="T275" s="65">
        <f t="shared" si="98"/>
        <v>0</v>
      </c>
      <c r="Z275" s="91"/>
      <c r="AA275" s="96">
        <f t="shared" si="99"/>
        <v>0</v>
      </c>
      <c r="AB275" s="84"/>
    </row>
    <row r="276" spans="20:28">
      <c r="T276" s="65">
        <f t="shared" si="98"/>
        <v>0</v>
      </c>
      <c r="Z276" s="91"/>
      <c r="AA276" s="96">
        <f t="shared" si="99"/>
        <v>0</v>
      </c>
      <c r="AB276" s="84"/>
    </row>
    <row r="277" spans="20:28">
      <c r="T277" s="65">
        <f t="shared" si="98"/>
        <v>0</v>
      </c>
      <c r="Z277" s="91"/>
      <c r="AA277" s="96">
        <f t="shared" si="99"/>
        <v>0</v>
      </c>
      <c r="AB277" s="84"/>
    </row>
    <row r="278" spans="20:28">
      <c r="T278" s="65">
        <f t="shared" si="98"/>
        <v>0</v>
      </c>
      <c r="Z278" s="91"/>
      <c r="AA278" s="96">
        <f t="shared" si="99"/>
        <v>0</v>
      </c>
      <c r="AB278" s="84"/>
    </row>
    <row r="279" spans="20:28">
      <c r="T279" s="65">
        <f t="shared" si="98"/>
        <v>0</v>
      </c>
      <c r="Z279" s="91"/>
      <c r="AA279" s="96">
        <f t="shared" si="99"/>
        <v>0</v>
      </c>
      <c r="AB279" s="84"/>
    </row>
    <row r="280" spans="20:28">
      <c r="T280" s="65">
        <f t="shared" si="98"/>
        <v>0</v>
      </c>
      <c r="Z280" s="91"/>
      <c r="AA280" s="96">
        <f t="shared" si="99"/>
        <v>0</v>
      </c>
      <c r="AB280" s="84"/>
    </row>
    <row r="281" spans="20:28">
      <c r="T281" s="65">
        <f t="shared" si="98"/>
        <v>0</v>
      </c>
      <c r="Z281" s="91"/>
      <c r="AA281" s="96">
        <f t="shared" si="99"/>
        <v>0</v>
      </c>
      <c r="AB281" s="84"/>
    </row>
    <row r="282" spans="20:28">
      <c r="T282" s="65">
        <f t="shared" si="98"/>
        <v>0</v>
      </c>
      <c r="Z282" s="91"/>
      <c r="AA282" s="96">
        <f t="shared" si="99"/>
        <v>0</v>
      </c>
      <c r="AB282" s="84"/>
    </row>
    <row r="283" spans="20:28">
      <c r="T283" s="65">
        <f t="shared" si="98"/>
        <v>0</v>
      </c>
      <c r="Z283" s="91"/>
      <c r="AA283" s="96">
        <f t="shared" si="99"/>
        <v>0</v>
      </c>
      <c r="AB283" s="84"/>
    </row>
    <row r="284" spans="20:28">
      <c r="T284" s="65">
        <f t="shared" si="98"/>
        <v>0</v>
      </c>
      <c r="Z284" s="91"/>
      <c r="AA284" s="96">
        <f t="shared" si="99"/>
        <v>0</v>
      </c>
      <c r="AB284" s="84"/>
    </row>
    <row r="285" spans="20:28">
      <c r="T285" s="65">
        <f t="shared" si="98"/>
        <v>0</v>
      </c>
      <c r="Z285" s="91"/>
      <c r="AA285" s="96">
        <f t="shared" si="99"/>
        <v>0</v>
      </c>
      <c r="AB285" s="84"/>
    </row>
    <row r="286" spans="20:28">
      <c r="T286" s="65">
        <f t="shared" si="98"/>
        <v>0</v>
      </c>
      <c r="Z286" s="91"/>
      <c r="AA286" s="96">
        <f t="shared" si="99"/>
        <v>0</v>
      </c>
      <c r="AB286" s="84"/>
    </row>
    <row r="287" spans="20:28">
      <c r="T287" s="65">
        <f t="shared" si="98"/>
        <v>0</v>
      </c>
      <c r="Z287" s="91"/>
      <c r="AA287" s="96">
        <f t="shared" si="99"/>
        <v>0</v>
      </c>
      <c r="AB287" s="84"/>
    </row>
    <row r="288" spans="20:28">
      <c r="T288" s="65">
        <f t="shared" si="98"/>
        <v>0</v>
      </c>
      <c r="Z288" s="91"/>
      <c r="AA288" s="96">
        <f t="shared" si="99"/>
        <v>0</v>
      </c>
      <c r="AB288" s="84"/>
    </row>
    <row r="289" spans="20:28">
      <c r="T289" s="65">
        <f t="shared" si="98"/>
        <v>0</v>
      </c>
      <c r="Z289" s="91"/>
      <c r="AA289" s="96">
        <f t="shared" si="99"/>
        <v>0</v>
      </c>
      <c r="AB289" s="84"/>
    </row>
    <row r="290" spans="20:28">
      <c r="T290" s="65">
        <f t="shared" si="98"/>
        <v>0</v>
      </c>
      <c r="Z290" s="91"/>
      <c r="AA290" s="96">
        <f t="shared" si="99"/>
        <v>0</v>
      </c>
      <c r="AB290" s="84"/>
    </row>
    <row r="291" spans="20:28">
      <c r="T291" s="65">
        <f t="shared" si="98"/>
        <v>0</v>
      </c>
      <c r="Z291" s="91"/>
      <c r="AA291" s="96">
        <f t="shared" si="99"/>
        <v>0</v>
      </c>
      <c r="AB291" s="84"/>
    </row>
    <row r="292" spans="20:28">
      <c r="T292" s="65">
        <f t="shared" si="98"/>
        <v>0</v>
      </c>
      <c r="Z292" s="91"/>
      <c r="AA292" s="96">
        <f t="shared" si="99"/>
        <v>0</v>
      </c>
      <c r="AB292" s="84"/>
    </row>
    <row r="293" spans="20:28">
      <c r="T293" s="65">
        <f t="shared" si="98"/>
        <v>0</v>
      </c>
      <c r="Z293" s="91"/>
      <c r="AA293" s="96">
        <f t="shared" si="99"/>
        <v>0</v>
      </c>
      <c r="AB293" s="84"/>
    </row>
    <row r="294" spans="20:28">
      <c r="T294" s="65">
        <f t="shared" si="98"/>
        <v>0</v>
      </c>
      <c r="Z294" s="91"/>
      <c r="AA294" s="96">
        <f t="shared" si="99"/>
        <v>0</v>
      </c>
      <c r="AB294" s="84"/>
    </row>
    <row r="295" spans="20:28">
      <c r="T295" s="65">
        <f t="shared" si="98"/>
        <v>0</v>
      </c>
      <c r="Z295" s="91"/>
      <c r="AA295" s="96">
        <f t="shared" si="99"/>
        <v>0</v>
      </c>
      <c r="AB295" s="84"/>
    </row>
    <row r="296" spans="20:28">
      <c r="T296" s="65">
        <f t="shared" si="98"/>
        <v>0</v>
      </c>
      <c r="Z296" s="91"/>
      <c r="AA296" s="96">
        <f t="shared" si="99"/>
        <v>0</v>
      </c>
      <c r="AB296" s="84"/>
    </row>
    <row r="297" spans="20:28">
      <c r="T297" s="65">
        <f t="shared" si="98"/>
        <v>0</v>
      </c>
      <c r="Z297" s="91"/>
      <c r="AA297" s="96">
        <f t="shared" si="99"/>
        <v>0</v>
      </c>
      <c r="AB297" s="84"/>
    </row>
    <row r="298" spans="20:28">
      <c r="T298" s="65">
        <f t="shared" si="98"/>
        <v>0</v>
      </c>
      <c r="Z298" s="91"/>
      <c r="AA298" s="96">
        <f t="shared" ref="AA298:AA329" si="100">Q298*E298</f>
        <v>0</v>
      </c>
      <c r="AB298" s="84"/>
    </row>
    <row r="299" spans="20:28">
      <c r="T299" s="65">
        <f t="shared" si="98"/>
        <v>0</v>
      </c>
      <c r="Z299" s="91"/>
      <c r="AA299" s="96">
        <f t="shared" si="100"/>
        <v>0</v>
      </c>
      <c r="AB299" s="84"/>
    </row>
    <row r="300" spans="20:28">
      <c r="T300" s="65">
        <f t="shared" si="98"/>
        <v>0</v>
      </c>
      <c r="Z300" s="91"/>
      <c r="AA300" s="96">
        <f t="shared" si="100"/>
        <v>0</v>
      </c>
      <c r="AB300" s="84"/>
    </row>
    <row r="301" spans="20:28">
      <c r="T301" s="65">
        <f t="shared" si="98"/>
        <v>0</v>
      </c>
      <c r="Z301" s="91"/>
      <c r="AA301" s="96">
        <f t="shared" si="100"/>
        <v>0</v>
      </c>
      <c r="AB301" s="84"/>
    </row>
    <row r="302" spans="20:28">
      <c r="T302" s="65">
        <f t="shared" si="98"/>
        <v>0</v>
      </c>
      <c r="Z302" s="91"/>
      <c r="AA302" s="96">
        <f t="shared" si="100"/>
        <v>0</v>
      </c>
      <c r="AB302" s="84"/>
    </row>
    <row r="303" spans="20:28">
      <c r="T303" s="65">
        <f t="shared" si="98"/>
        <v>0</v>
      </c>
      <c r="Z303" s="91"/>
      <c r="AA303" s="96">
        <f t="shared" si="100"/>
        <v>0</v>
      </c>
      <c r="AB303" s="84"/>
    </row>
    <row r="304" spans="20:28">
      <c r="T304" s="65">
        <f>SUM(J304:R304)</f>
        <v>0</v>
      </c>
      <c r="Z304" s="91"/>
      <c r="AA304" s="96">
        <f t="shared" si="100"/>
        <v>0</v>
      </c>
      <c r="AB304" s="84"/>
    </row>
    <row r="305" spans="20:28">
      <c r="T305" s="65">
        <f>SUM(J305:R305)</f>
        <v>0</v>
      </c>
      <c r="Z305" s="91"/>
      <c r="AA305" s="96">
        <f t="shared" si="100"/>
        <v>0</v>
      </c>
      <c r="AB305" s="84"/>
    </row>
    <row r="306" spans="20:28">
      <c r="Z306" s="91"/>
      <c r="AA306" s="96">
        <f t="shared" si="100"/>
        <v>0</v>
      </c>
      <c r="AB306" s="84"/>
    </row>
    <row r="307" spans="20:28">
      <c r="Z307" s="91"/>
      <c r="AA307" s="96">
        <f t="shared" si="100"/>
        <v>0</v>
      </c>
      <c r="AB307" s="84"/>
    </row>
    <row r="308" spans="20:28">
      <c r="Z308" s="91"/>
      <c r="AA308" s="96">
        <f t="shared" si="100"/>
        <v>0</v>
      </c>
      <c r="AB308" s="84"/>
    </row>
    <row r="309" spans="20:28">
      <c r="Z309" s="91"/>
      <c r="AA309" s="96">
        <f t="shared" si="100"/>
        <v>0</v>
      </c>
      <c r="AB309" s="84"/>
    </row>
    <row r="310" spans="20:28">
      <c r="Z310" s="91"/>
      <c r="AA310" s="96">
        <f t="shared" si="100"/>
        <v>0</v>
      </c>
      <c r="AB310" s="84"/>
    </row>
    <row r="311" spans="20:28">
      <c r="Z311" s="91"/>
      <c r="AA311" s="96">
        <f t="shared" si="100"/>
        <v>0</v>
      </c>
      <c r="AB311" s="84"/>
    </row>
    <row r="312" spans="20:28">
      <c r="Z312" s="91"/>
      <c r="AA312" s="96">
        <f t="shared" si="100"/>
        <v>0</v>
      </c>
      <c r="AB312" s="84"/>
    </row>
    <row r="313" spans="20:28">
      <c r="Z313" s="91"/>
      <c r="AA313" s="96">
        <f t="shared" si="100"/>
        <v>0</v>
      </c>
      <c r="AB313" s="84"/>
    </row>
    <row r="314" spans="20:28">
      <c r="Z314" s="91"/>
      <c r="AA314" s="96">
        <f t="shared" si="100"/>
        <v>0</v>
      </c>
      <c r="AB314" s="84"/>
    </row>
    <row r="315" spans="20:28">
      <c r="Z315" s="91"/>
      <c r="AA315" s="96">
        <f t="shared" si="100"/>
        <v>0</v>
      </c>
      <c r="AB315" s="84"/>
    </row>
    <row r="316" spans="20:28">
      <c r="Z316" s="91"/>
      <c r="AA316" s="96">
        <f t="shared" si="100"/>
        <v>0</v>
      </c>
      <c r="AB316" s="84"/>
    </row>
    <row r="317" spans="20:28">
      <c r="Z317" s="91"/>
      <c r="AA317" s="96">
        <f t="shared" si="100"/>
        <v>0</v>
      </c>
      <c r="AB317" s="84"/>
    </row>
    <row r="318" spans="20:28">
      <c r="Z318" s="91"/>
      <c r="AA318" s="96">
        <f t="shared" si="100"/>
        <v>0</v>
      </c>
      <c r="AB318" s="84"/>
    </row>
    <row r="319" spans="20:28">
      <c r="Z319" s="91"/>
      <c r="AA319" s="96">
        <f t="shared" si="100"/>
        <v>0</v>
      </c>
      <c r="AB319" s="84"/>
    </row>
    <row r="320" spans="20:28">
      <c r="Z320" s="91"/>
      <c r="AA320" s="96">
        <f t="shared" si="100"/>
        <v>0</v>
      </c>
      <c r="AB320" s="84"/>
    </row>
    <row r="321" spans="26:28">
      <c r="Z321" s="91"/>
      <c r="AA321" s="96">
        <f t="shared" si="100"/>
        <v>0</v>
      </c>
      <c r="AB321" s="84"/>
    </row>
    <row r="322" spans="26:28">
      <c r="Z322" s="91"/>
      <c r="AA322" s="96">
        <f t="shared" si="100"/>
        <v>0</v>
      </c>
      <c r="AB322" s="84"/>
    </row>
    <row r="323" spans="26:28">
      <c r="Z323" s="91"/>
      <c r="AA323" s="96">
        <f t="shared" si="100"/>
        <v>0</v>
      </c>
      <c r="AB323" s="84"/>
    </row>
    <row r="324" spans="26:28">
      <c r="Z324" s="91"/>
      <c r="AA324" s="96">
        <f t="shared" si="100"/>
        <v>0</v>
      </c>
      <c r="AB324" s="84"/>
    </row>
    <row r="325" spans="26:28">
      <c r="Z325" s="91"/>
      <c r="AA325" s="96">
        <f t="shared" si="100"/>
        <v>0</v>
      </c>
      <c r="AB325" s="84"/>
    </row>
    <row r="326" spans="26:28">
      <c r="Z326" s="91"/>
      <c r="AA326" s="96">
        <f t="shared" si="100"/>
        <v>0</v>
      </c>
      <c r="AB326" s="84"/>
    </row>
    <row r="327" spans="26:28">
      <c r="Z327" s="91"/>
      <c r="AA327" s="96">
        <f t="shared" si="100"/>
        <v>0</v>
      </c>
      <c r="AB327" s="84"/>
    </row>
    <row r="328" spans="26:28">
      <c r="Z328" s="91"/>
      <c r="AA328" s="96">
        <f t="shared" si="100"/>
        <v>0</v>
      </c>
      <c r="AB328" s="84"/>
    </row>
    <row r="329" spans="26:28">
      <c r="Z329" s="91"/>
      <c r="AA329" s="96">
        <f t="shared" si="100"/>
        <v>0</v>
      </c>
      <c r="AB329" s="84"/>
    </row>
    <row r="330" spans="26:28">
      <c r="Z330" s="91"/>
      <c r="AA330" s="96">
        <f t="shared" ref="AA330:AA361" si="101">Q330*E330</f>
        <v>0</v>
      </c>
      <c r="AB330" s="84"/>
    </row>
    <row r="331" spans="26:28">
      <c r="Z331" s="91"/>
      <c r="AA331" s="96">
        <f t="shared" si="101"/>
        <v>0</v>
      </c>
      <c r="AB331" s="84"/>
    </row>
    <row r="332" spans="26:28">
      <c r="Z332" s="91"/>
      <c r="AA332" s="96">
        <f t="shared" si="101"/>
        <v>0</v>
      </c>
      <c r="AB332" s="84"/>
    </row>
    <row r="333" spans="26:28">
      <c r="Z333" s="91"/>
      <c r="AA333" s="96">
        <f t="shared" si="101"/>
        <v>0</v>
      </c>
      <c r="AB333" s="84"/>
    </row>
    <row r="334" spans="26:28">
      <c r="Z334" s="91"/>
      <c r="AA334" s="96">
        <f t="shared" si="101"/>
        <v>0</v>
      </c>
      <c r="AB334" s="84"/>
    </row>
    <row r="335" spans="26:28">
      <c r="Z335" s="91"/>
      <c r="AA335" s="96">
        <f t="shared" si="101"/>
        <v>0</v>
      </c>
      <c r="AB335" s="84"/>
    </row>
    <row r="336" spans="26:28">
      <c r="Z336" s="91"/>
      <c r="AA336" s="96">
        <f t="shared" si="101"/>
        <v>0</v>
      </c>
      <c r="AB336" s="84"/>
    </row>
    <row r="337" spans="26:28">
      <c r="Z337" s="91"/>
      <c r="AA337" s="96">
        <f t="shared" si="101"/>
        <v>0</v>
      </c>
      <c r="AB337" s="84"/>
    </row>
    <row r="338" spans="26:28">
      <c r="Z338" s="91"/>
      <c r="AA338" s="96">
        <f t="shared" si="101"/>
        <v>0</v>
      </c>
      <c r="AB338" s="84"/>
    </row>
    <row r="339" spans="26:28">
      <c r="Z339" s="91"/>
      <c r="AA339" s="96">
        <f t="shared" si="101"/>
        <v>0</v>
      </c>
      <c r="AB339" s="84"/>
    </row>
    <row r="340" spans="26:28">
      <c r="Z340" s="91"/>
      <c r="AA340" s="96">
        <f t="shared" si="101"/>
        <v>0</v>
      </c>
      <c r="AB340" s="84"/>
    </row>
    <row r="341" spans="26:28">
      <c r="Z341" s="91"/>
      <c r="AA341" s="96">
        <f t="shared" si="101"/>
        <v>0</v>
      </c>
      <c r="AB341" s="84"/>
    </row>
    <row r="342" spans="26:28">
      <c r="Z342" s="91"/>
      <c r="AA342" s="96">
        <f t="shared" si="101"/>
        <v>0</v>
      </c>
      <c r="AB342" s="84"/>
    </row>
    <row r="343" spans="26:28">
      <c r="Z343" s="91"/>
      <c r="AA343" s="96">
        <f t="shared" si="101"/>
        <v>0</v>
      </c>
      <c r="AB343" s="84"/>
    </row>
    <row r="344" spans="26:28">
      <c r="Z344" s="91"/>
      <c r="AA344" s="96">
        <f t="shared" si="101"/>
        <v>0</v>
      </c>
      <c r="AB344" s="84"/>
    </row>
    <row r="345" spans="26:28">
      <c r="Z345" s="91"/>
      <c r="AA345" s="96">
        <f t="shared" si="101"/>
        <v>0</v>
      </c>
      <c r="AB345" s="84"/>
    </row>
    <row r="346" spans="26:28">
      <c r="Z346" s="91"/>
      <c r="AA346" s="96">
        <f t="shared" si="101"/>
        <v>0</v>
      </c>
      <c r="AB346" s="84"/>
    </row>
    <row r="347" spans="26:28">
      <c r="Z347" s="91"/>
      <c r="AA347" s="96">
        <f t="shared" si="101"/>
        <v>0</v>
      </c>
      <c r="AB347" s="84"/>
    </row>
    <row r="348" spans="26:28">
      <c r="Z348" s="91"/>
      <c r="AA348" s="96">
        <f t="shared" si="101"/>
        <v>0</v>
      </c>
      <c r="AB348" s="84"/>
    </row>
    <row r="349" spans="26:28">
      <c r="Z349" s="91"/>
      <c r="AA349" s="96">
        <f t="shared" si="101"/>
        <v>0</v>
      </c>
      <c r="AB349" s="84"/>
    </row>
    <row r="350" spans="26:28">
      <c r="Z350" s="91"/>
      <c r="AA350" s="96">
        <f t="shared" si="101"/>
        <v>0</v>
      </c>
      <c r="AB350" s="84"/>
    </row>
    <row r="351" spans="26:28">
      <c r="Z351" s="91"/>
      <c r="AA351" s="96">
        <f t="shared" si="101"/>
        <v>0</v>
      </c>
      <c r="AB351" s="84"/>
    </row>
    <row r="352" spans="26:28">
      <c r="Z352" s="91"/>
      <c r="AA352" s="96">
        <f t="shared" si="101"/>
        <v>0</v>
      </c>
      <c r="AB352" s="84"/>
    </row>
    <row r="353" spans="26:28">
      <c r="Z353" s="91"/>
      <c r="AA353" s="96">
        <f t="shared" si="101"/>
        <v>0</v>
      </c>
      <c r="AB353" s="84"/>
    </row>
    <row r="354" spans="26:28">
      <c r="Z354" s="91"/>
      <c r="AA354" s="96">
        <f t="shared" si="101"/>
        <v>0</v>
      </c>
      <c r="AB354" s="84"/>
    </row>
    <row r="355" spans="26:28">
      <c r="Z355" s="91"/>
      <c r="AA355" s="96">
        <f t="shared" si="101"/>
        <v>0</v>
      </c>
      <c r="AB355" s="84"/>
    </row>
    <row r="356" spans="26:28">
      <c r="Z356" s="91"/>
      <c r="AA356" s="96">
        <f t="shared" si="101"/>
        <v>0</v>
      </c>
      <c r="AB356" s="84"/>
    </row>
    <row r="357" spans="26:28">
      <c r="Z357" s="91"/>
      <c r="AA357" s="96">
        <f t="shared" si="101"/>
        <v>0</v>
      </c>
      <c r="AB357" s="84"/>
    </row>
    <row r="358" spans="26:28">
      <c r="Z358" s="91"/>
      <c r="AA358" s="96">
        <f t="shared" si="101"/>
        <v>0</v>
      </c>
      <c r="AB358" s="84"/>
    </row>
    <row r="359" spans="26:28">
      <c r="Z359" s="91"/>
      <c r="AA359" s="96">
        <f t="shared" si="101"/>
        <v>0</v>
      </c>
      <c r="AB359" s="84"/>
    </row>
    <row r="360" spans="26:28">
      <c r="Z360" s="91"/>
      <c r="AA360" s="96">
        <f t="shared" si="101"/>
        <v>0</v>
      </c>
      <c r="AB360" s="84"/>
    </row>
    <row r="361" spans="26:28">
      <c r="Z361" s="91"/>
      <c r="AA361" s="96">
        <f t="shared" si="101"/>
        <v>0</v>
      </c>
      <c r="AB361" s="84"/>
    </row>
    <row r="362" spans="26:28">
      <c r="AA362" s="96">
        <f t="shared" ref="AA362:AA379" si="102">Q362*E362</f>
        <v>0</v>
      </c>
      <c r="AB362" s="93"/>
    </row>
    <row r="363" spans="26:28">
      <c r="AA363" s="96">
        <f t="shared" si="102"/>
        <v>0</v>
      </c>
      <c r="AB363" s="93"/>
    </row>
    <row r="364" spans="26:28">
      <c r="AA364" s="96">
        <f t="shared" si="102"/>
        <v>0</v>
      </c>
      <c r="AB364" s="93"/>
    </row>
    <row r="365" spans="26:28">
      <c r="AA365" s="96">
        <f t="shared" si="102"/>
        <v>0</v>
      </c>
      <c r="AB365" s="93"/>
    </row>
    <row r="366" spans="26:28">
      <c r="AA366" s="96">
        <f t="shared" si="102"/>
        <v>0</v>
      </c>
      <c r="AB366" s="93"/>
    </row>
    <row r="367" spans="26:28">
      <c r="AA367" s="96">
        <f t="shared" si="102"/>
        <v>0</v>
      </c>
      <c r="AB367" s="93"/>
    </row>
    <row r="368" spans="26:28">
      <c r="AA368" s="96">
        <f t="shared" si="102"/>
        <v>0</v>
      </c>
      <c r="AB368" s="93"/>
    </row>
    <row r="369" spans="27:28">
      <c r="AA369" s="96">
        <f t="shared" si="102"/>
        <v>0</v>
      </c>
      <c r="AB369" s="93"/>
    </row>
    <row r="370" spans="27:28">
      <c r="AA370" s="96">
        <f t="shared" si="102"/>
        <v>0</v>
      </c>
      <c r="AB370" s="93"/>
    </row>
    <row r="371" spans="27:28">
      <c r="AA371" s="96">
        <f t="shared" si="102"/>
        <v>0</v>
      </c>
      <c r="AB371" s="93"/>
    </row>
    <row r="372" spans="27:28">
      <c r="AA372" s="96">
        <f t="shared" si="102"/>
        <v>0</v>
      </c>
      <c r="AB372" s="93"/>
    </row>
    <row r="373" spans="27:28">
      <c r="AA373" s="96">
        <f t="shared" si="102"/>
        <v>0</v>
      </c>
      <c r="AB373" s="93"/>
    </row>
    <row r="374" spans="27:28">
      <c r="AA374" s="96">
        <f t="shared" si="102"/>
        <v>0</v>
      </c>
      <c r="AB374" s="93"/>
    </row>
    <row r="375" spans="27:28">
      <c r="AA375" s="96">
        <f t="shared" si="102"/>
        <v>0</v>
      </c>
      <c r="AB375" s="93"/>
    </row>
    <row r="376" spans="27:28">
      <c r="AA376" s="96">
        <f t="shared" si="102"/>
        <v>0</v>
      </c>
      <c r="AB376" s="93"/>
    </row>
    <row r="377" spans="27:28">
      <c r="AA377" s="96">
        <f t="shared" si="102"/>
        <v>0</v>
      </c>
      <c r="AB377" s="93"/>
    </row>
    <row r="378" spans="27:28">
      <c r="AA378" s="96">
        <f t="shared" si="102"/>
        <v>0</v>
      </c>
      <c r="AB378" s="93"/>
    </row>
    <row r="379" spans="27:28">
      <c r="AA379" s="96">
        <f t="shared" si="102"/>
        <v>0</v>
      </c>
      <c r="AB379" s="93"/>
    </row>
    <row r="380" spans="27:28">
      <c r="AB380" s="93"/>
    </row>
    <row r="381" spans="27:28">
      <c r="AB381" s="93"/>
    </row>
    <row r="382" spans="27:28">
      <c r="AB382" s="93"/>
    </row>
    <row r="383" spans="27:28">
      <c r="AB383" s="93"/>
    </row>
    <row r="384" spans="27:28">
      <c r="AB384" s="93"/>
    </row>
    <row r="385" spans="28:28">
      <c r="AB385" s="93"/>
    </row>
    <row r="386" spans="28:28">
      <c r="AB386" s="93"/>
    </row>
    <row r="387" spans="28:28">
      <c r="AB387" s="93"/>
    </row>
    <row r="388" spans="28:28">
      <c r="AB388" s="93"/>
    </row>
    <row r="389" spans="28:28">
      <c r="AB389" s="93"/>
    </row>
    <row r="390" spans="28:28">
      <c r="AB390" s="93"/>
    </row>
    <row r="391" spans="28:28">
      <c r="AB391" s="93"/>
    </row>
    <row r="392" spans="28:28">
      <c r="AB392" s="93"/>
    </row>
    <row r="393" spans="28:28">
      <c r="AB393" s="93"/>
    </row>
    <row r="394" spans="28:28">
      <c r="AB394" s="93"/>
    </row>
    <row r="395" spans="28:28">
      <c r="AB395" s="93"/>
    </row>
    <row r="396" spans="28:28">
      <c r="AB396" s="93"/>
    </row>
    <row r="397" spans="28:28">
      <c r="AB397" s="93"/>
    </row>
    <row r="398" spans="28:28">
      <c r="AB398" s="93"/>
    </row>
    <row r="399" spans="28:28">
      <c r="AB399" s="93"/>
    </row>
    <row r="400" spans="28:28">
      <c r="AB400" s="93"/>
    </row>
    <row r="401" spans="28:28">
      <c r="AB401" s="93"/>
    </row>
    <row r="402" spans="28:28">
      <c r="AB402" s="93"/>
    </row>
    <row r="403" spans="28:28">
      <c r="AB403" s="93"/>
    </row>
    <row r="404" spans="28:28">
      <c r="AB404" s="93"/>
    </row>
    <row r="405" spans="28:28">
      <c r="AB405" s="93"/>
    </row>
    <row r="406" spans="28:28">
      <c r="AB406" s="93"/>
    </row>
    <row r="407" spans="28:28">
      <c r="AB407" s="93"/>
    </row>
    <row r="408" spans="28:28">
      <c r="AB408" s="93"/>
    </row>
    <row r="409" spans="28:28">
      <c r="AB409" s="93"/>
    </row>
    <row r="410" spans="28:28">
      <c r="AB410" s="93"/>
    </row>
    <row r="411" spans="28:28">
      <c r="AB411" s="93"/>
    </row>
    <row r="412" spans="28:28">
      <c r="AB412" s="93"/>
    </row>
    <row r="413" spans="28:28">
      <c r="AB413" s="93"/>
    </row>
    <row r="414" spans="28:28">
      <c r="AB414" s="93"/>
    </row>
    <row r="415" spans="28:28">
      <c r="AB415" s="93"/>
    </row>
    <row r="416" spans="28:28">
      <c r="AB416" s="93"/>
    </row>
    <row r="417" spans="28:28">
      <c r="AB417" s="93"/>
    </row>
  </sheetData>
  <autoFilter ref="A25:AB239"/>
  <printOptions horizontalCentered="1"/>
  <pageMargins left="0.19685039370078741" right="0.19685039370078741" top="0.39370078740157483" bottom="1.1811023622047245" header="0.31496062992125984" footer="0.31496062992125984"/>
  <pageSetup paperSize="9" scale="97" orientation="landscape" horizontalDpi="4294967293" verticalDpi="4294967293" r:id="rId1"/>
  <headerFooter alignWithMargins="0">
    <oddFooter>&amp;LClarice Maria Lima FortesCNPJ: 18.228.092/0001-27&amp;C&amp;P/&amp;N&amp;RSabrina Livia de Medeiros PereiraEngenheira CivilCREA: 160495993-2</oddFooter>
  </headerFooter>
  <rowBreaks count="3" manualBreakCount="3">
    <brk id="87" max="65535" man="1"/>
    <brk id="104" max="65535" man="1"/>
    <brk id="177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6"/>
  <sheetViews>
    <sheetView zoomScale="110" workbookViewId="0">
      <selection activeCell="C11" sqref="C11"/>
    </sheetView>
  </sheetViews>
  <sheetFormatPr defaultRowHeight="12.75"/>
  <cols>
    <col min="1" max="1" width="9.140625" style="10"/>
    <col min="2" max="2" width="88.7109375" style="7" customWidth="1"/>
    <col min="3" max="3" width="11.85546875" style="17" customWidth="1"/>
    <col min="4" max="4" width="12.5703125" style="127" customWidth="1"/>
    <col min="5" max="16384" width="9.140625" style="7"/>
  </cols>
  <sheetData>
    <row r="1" spans="1:4" ht="27" customHeight="1">
      <c r="A1" s="358" t="s">
        <v>6</v>
      </c>
      <c r="B1" s="358"/>
      <c r="C1" s="358"/>
      <c r="D1" s="358"/>
    </row>
    <row r="2" spans="1:4" ht="24.75" customHeight="1">
      <c r="A2" s="358" t="s">
        <v>503</v>
      </c>
      <c r="B2" s="358"/>
      <c r="C2" s="358"/>
      <c r="D2" s="358"/>
    </row>
    <row r="3" spans="1:4" ht="19.5" customHeight="1">
      <c r="A3" s="358" t="s">
        <v>504</v>
      </c>
      <c r="B3" s="358"/>
      <c r="C3" s="358"/>
      <c r="D3" s="358"/>
    </row>
    <row r="5" spans="1:4" ht="15" customHeight="1">
      <c r="A5" s="358" t="s">
        <v>505</v>
      </c>
      <c r="B5" s="358"/>
      <c r="C5" s="358"/>
      <c r="D5" s="358"/>
    </row>
    <row r="7" spans="1:4" s="9" customFormat="1">
      <c r="A7" s="11" t="s">
        <v>506</v>
      </c>
      <c r="B7" s="8" t="s">
        <v>507</v>
      </c>
      <c r="C7" s="15" t="s">
        <v>508</v>
      </c>
      <c r="D7" s="8" t="s">
        <v>509</v>
      </c>
    </row>
    <row r="8" spans="1:4">
      <c r="C8" s="13"/>
    </row>
    <row r="9" spans="1:4" s="9" customFormat="1">
      <c r="A9" s="1">
        <v>6</v>
      </c>
      <c r="B9" s="2" t="s">
        <v>144</v>
      </c>
      <c r="C9" s="16"/>
      <c r="D9" s="8"/>
    </row>
    <row r="10" spans="1:4">
      <c r="A10" s="3"/>
      <c r="B10" s="4"/>
      <c r="C10" s="14"/>
      <c r="D10" s="4"/>
    </row>
    <row r="11" spans="1:4" s="9" customFormat="1">
      <c r="A11" s="1" t="s">
        <v>145</v>
      </c>
      <c r="B11" s="2" t="s">
        <v>146</v>
      </c>
      <c r="C11" s="16">
        <f>C23</f>
        <v>159.13999999999999</v>
      </c>
      <c r="D11" s="8" t="s">
        <v>510</v>
      </c>
    </row>
    <row r="12" spans="1:4">
      <c r="A12" s="5"/>
      <c r="B12" s="6"/>
      <c r="C12" s="18"/>
      <c r="D12" s="6"/>
    </row>
    <row r="13" spans="1:4">
      <c r="A13" s="5"/>
      <c r="B13" s="6" t="s">
        <v>511</v>
      </c>
      <c r="C13" s="125">
        <v>1114</v>
      </c>
      <c r="D13" s="127" t="s">
        <v>512</v>
      </c>
    </row>
    <row r="14" spans="1:4" s="12" customFormat="1">
      <c r="A14" s="3"/>
      <c r="B14" s="4"/>
      <c r="C14" s="14"/>
      <c r="D14" s="4"/>
    </row>
    <row r="15" spans="1:4">
      <c r="A15" s="3"/>
      <c r="B15" s="6" t="s">
        <v>513</v>
      </c>
      <c r="C15" s="18">
        <v>7</v>
      </c>
      <c r="D15" s="6" t="s">
        <v>514</v>
      </c>
    </row>
    <row r="16" spans="1:4">
      <c r="A16" s="3"/>
      <c r="B16" s="6"/>
      <c r="C16" s="18"/>
      <c r="D16" s="6"/>
    </row>
    <row r="17" spans="1:4" s="12" customFormat="1">
      <c r="A17" s="3"/>
      <c r="B17" s="4" t="s">
        <v>515</v>
      </c>
      <c r="C17" s="14">
        <v>1</v>
      </c>
      <c r="D17" s="4" t="s">
        <v>516</v>
      </c>
    </row>
    <row r="18" spans="1:4">
      <c r="A18" s="3"/>
      <c r="B18" s="6"/>
      <c r="C18" s="18"/>
      <c r="D18" s="6"/>
    </row>
    <row r="19" spans="1:4">
      <c r="A19" s="3"/>
      <c r="B19" s="129" t="s">
        <v>517</v>
      </c>
      <c r="C19" s="18"/>
      <c r="D19" s="6"/>
    </row>
    <row r="20" spans="1:4" ht="13.5" thickBot="1">
      <c r="A20" s="3"/>
      <c r="B20" s="130" t="s">
        <v>518</v>
      </c>
    </row>
    <row r="21" spans="1:4" ht="13.5" thickBot="1">
      <c r="A21" s="3"/>
      <c r="B21" s="131" t="s">
        <v>519</v>
      </c>
      <c r="C21" s="18">
        <f>C17*C13/C15</f>
        <v>159.14285714285714</v>
      </c>
      <c r="D21" s="6" t="s">
        <v>510</v>
      </c>
    </row>
    <row r="22" spans="1:4">
      <c r="A22" s="3"/>
      <c r="B22" s="6"/>
      <c r="C22" s="18"/>
      <c r="D22" s="6"/>
    </row>
    <row r="23" spans="1:4">
      <c r="A23" s="3"/>
      <c r="B23" s="126" t="s">
        <v>520</v>
      </c>
      <c r="C23" s="14">
        <f>ROUND(C21,2)</f>
        <v>159.13999999999999</v>
      </c>
      <c r="D23" s="4" t="s">
        <v>512</v>
      </c>
    </row>
    <row r="24" spans="1:4">
      <c r="A24" s="3"/>
      <c r="B24" s="6"/>
      <c r="C24" s="18"/>
      <c r="D24" s="6"/>
    </row>
    <row r="25" spans="1:4" s="12" customFormat="1">
      <c r="A25" s="3"/>
      <c r="B25" s="126" t="s">
        <v>521</v>
      </c>
      <c r="C25" s="128">
        <f>ROUND(C23/C13,4)</f>
        <v>0.1429</v>
      </c>
      <c r="D25" s="4"/>
    </row>
    <row r="26" spans="1:4">
      <c r="A26" s="3"/>
      <c r="B26" s="4"/>
      <c r="C26" s="14"/>
      <c r="D26" s="4"/>
    </row>
    <row r="27" spans="1:4" s="9" customFormat="1" hidden="1">
      <c r="A27" s="1">
        <v>10</v>
      </c>
      <c r="B27" s="2" t="s">
        <v>194</v>
      </c>
      <c r="C27" s="16"/>
      <c r="D27" s="8"/>
    </row>
    <row r="28" spans="1:4" hidden="1">
      <c r="A28" s="3"/>
      <c r="B28" s="4"/>
      <c r="C28" s="14"/>
      <c r="D28" s="4"/>
    </row>
    <row r="29" spans="1:4" s="9" customFormat="1" hidden="1">
      <c r="A29" s="1" t="s">
        <v>204</v>
      </c>
      <c r="B29" s="2" t="s">
        <v>205</v>
      </c>
      <c r="C29" s="16">
        <f>C41</f>
        <v>0</v>
      </c>
      <c r="D29" s="8" t="s">
        <v>510</v>
      </c>
    </row>
    <row r="30" spans="1:4" hidden="1">
      <c r="A30" s="5"/>
      <c r="B30" s="6"/>
      <c r="C30" s="142"/>
      <c r="D30" s="125"/>
    </row>
    <row r="31" spans="1:4" hidden="1">
      <c r="A31" s="5"/>
      <c r="B31" s="6" t="s">
        <v>511</v>
      </c>
      <c r="C31" s="125">
        <v>1114</v>
      </c>
      <c r="D31" s="127" t="s">
        <v>512</v>
      </c>
    </row>
    <row r="32" spans="1:4" hidden="1">
      <c r="A32" s="3"/>
      <c r="B32" s="4"/>
      <c r="C32" s="14"/>
      <c r="D32" s="4"/>
    </row>
    <row r="33" spans="1:4" hidden="1">
      <c r="A33" s="3"/>
      <c r="B33" s="6" t="s">
        <v>513</v>
      </c>
      <c r="C33" s="18">
        <v>7</v>
      </c>
      <c r="D33" s="6" t="s">
        <v>514</v>
      </c>
    </row>
    <row r="34" spans="1:4" hidden="1">
      <c r="A34" s="3"/>
      <c r="B34" s="6"/>
      <c r="C34" s="18"/>
      <c r="D34" s="6"/>
    </row>
    <row r="35" spans="1:4" hidden="1">
      <c r="A35" s="3"/>
      <c r="B35" s="4" t="s">
        <v>515</v>
      </c>
      <c r="C35" s="14"/>
      <c r="D35" s="4" t="s">
        <v>516</v>
      </c>
    </row>
    <row r="36" spans="1:4" hidden="1">
      <c r="A36" s="3"/>
      <c r="B36" s="6"/>
      <c r="C36" s="18"/>
      <c r="D36" s="6"/>
    </row>
    <row r="37" spans="1:4" hidden="1">
      <c r="A37" s="3"/>
      <c r="B37" s="129" t="s">
        <v>517</v>
      </c>
      <c r="C37" s="18"/>
      <c r="D37" s="6"/>
    </row>
    <row r="38" spans="1:4" ht="13.5" hidden="1" thickBot="1">
      <c r="A38" s="3"/>
      <c r="B38" s="130" t="s">
        <v>518</v>
      </c>
    </row>
    <row r="39" spans="1:4" ht="13.5" hidden="1" thickBot="1">
      <c r="A39" s="3"/>
      <c r="B39" s="131" t="s">
        <v>519</v>
      </c>
      <c r="C39" s="18">
        <f>C35*C31/C33</f>
        <v>0</v>
      </c>
      <c r="D39" s="6" t="s">
        <v>510</v>
      </c>
    </row>
    <row r="40" spans="1:4" hidden="1">
      <c r="A40" s="3"/>
      <c r="B40" s="6"/>
      <c r="C40" s="18"/>
      <c r="D40" s="6"/>
    </row>
    <row r="41" spans="1:4" hidden="1">
      <c r="A41" s="3"/>
      <c r="B41" s="126" t="s">
        <v>520</v>
      </c>
      <c r="C41" s="14">
        <f>ROUND(C39,2)</f>
        <v>0</v>
      </c>
      <c r="D41" s="4" t="s">
        <v>512</v>
      </c>
    </row>
    <row r="42" spans="1:4" hidden="1">
      <c r="A42" s="3"/>
      <c r="B42" s="6"/>
      <c r="C42" s="18"/>
      <c r="D42" s="6"/>
    </row>
    <row r="43" spans="1:4" hidden="1">
      <c r="A43" s="3"/>
      <c r="B43" s="126" t="s">
        <v>521</v>
      </c>
      <c r="C43" s="128">
        <f>ROUND(C41/C31,4)</f>
        <v>0</v>
      </c>
      <c r="D43" s="4"/>
    </row>
    <row r="44" spans="1:4" hidden="1">
      <c r="A44" s="3"/>
      <c r="B44" s="126"/>
      <c r="C44" s="128"/>
      <c r="D44" s="4"/>
    </row>
    <row r="45" spans="1:4" s="9" customFormat="1" hidden="1">
      <c r="A45" s="1" t="s">
        <v>207</v>
      </c>
      <c r="B45" s="2" t="s">
        <v>208</v>
      </c>
      <c r="C45" s="16">
        <f>C57</f>
        <v>0</v>
      </c>
      <c r="D45" s="8" t="s">
        <v>510</v>
      </c>
    </row>
    <row r="46" spans="1:4" hidden="1">
      <c r="A46" s="5"/>
      <c r="B46" s="6"/>
      <c r="C46" s="5"/>
      <c r="D46" s="4"/>
    </row>
    <row r="47" spans="1:4" hidden="1">
      <c r="A47" s="5"/>
      <c r="B47" s="6" t="s">
        <v>511</v>
      </c>
      <c r="C47" s="125">
        <v>1114</v>
      </c>
      <c r="D47" s="127" t="s">
        <v>512</v>
      </c>
    </row>
    <row r="48" spans="1:4" hidden="1">
      <c r="A48" s="3"/>
      <c r="B48" s="4"/>
      <c r="C48" s="14"/>
      <c r="D48" s="4"/>
    </row>
    <row r="49" spans="1:4" hidden="1">
      <c r="A49" s="3"/>
      <c r="B49" s="6" t="s">
        <v>513</v>
      </c>
      <c r="C49" s="18">
        <v>7</v>
      </c>
      <c r="D49" s="6" t="s">
        <v>514</v>
      </c>
    </row>
    <row r="50" spans="1:4" hidden="1">
      <c r="A50" s="3"/>
      <c r="B50" s="6"/>
      <c r="C50" s="18"/>
      <c r="D50" s="6"/>
    </row>
    <row r="51" spans="1:4" s="12" customFormat="1" hidden="1">
      <c r="A51" s="3"/>
      <c r="B51" s="4" t="s">
        <v>515</v>
      </c>
      <c r="C51" s="14"/>
      <c r="D51" s="4" t="s">
        <v>516</v>
      </c>
    </row>
    <row r="52" spans="1:4" hidden="1">
      <c r="A52" s="3"/>
      <c r="B52" s="6"/>
      <c r="C52" s="18"/>
      <c r="D52" s="6"/>
    </row>
    <row r="53" spans="1:4" hidden="1">
      <c r="A53" s="3"/>
      <c r="B53" s="129" t="s">
        <v>517</v>
      </c>
      <c r="C53" s="18"/>
      <c r="D53" s="6"/>
    </row>
    <row r="54" spans="1:4" ht="13.5" hidden="1" thickBot="1">
      <c r="A54" s="3"/>
      <c r="B54" s="130" t="s">
        <v>518</v>
      </c>
    </row>
    <row r="55" spans="1:4" ht="13.5" hidden="1" thickBot="1">
      <c r="A55" s="3"/>
      <c r="B55" s="131" t="s">
        <v>519</v>
      </c>
      <c r="C55" s="18">
        <f>C51*C47/C49</f>
        <v>0</v>
      </c>
      <c r="D55" s="6" t="s">
        <v>510</v>
      </c>
    </row>
    <row r="56" spans="1:4" s="101" customFormat="1" hidden="1">
      <c r="A56" s="3"/>
      <c r="B56" s="6"/>
      <c r="C56" s="18"/>
      <c r="D56" s="6"/>
    </row>
    <row r="57" spans="1:4" hidden="1">
      <c r="A57" s="3"/>
      <c r="B57" s="126" t="s">
        <v>520</v>
      </c>
      <c r="C57" s="14">
        <f>ROUND(C55,2)</f>
        <v>0</v>
      </c>
      <c r="D57" s="4" t="s">
        <v>512</v>
      </c>
    </row>
    <row r="58" spans="1:4" s="102" customFormat="1" hidden="1">
      <c r="A58" s="3"/>
      <c r="B58" s="6"/>
      <c r="C58" s="18"/>
      <c r="D58" s="6"/>
    </row>
    <row r="59" spans="1:4" hidden="1">
      <c r="A59" s="3"/>
      <c r="B59" s="126" t="s">
        <v>521</v>
      </c>
      <c r="C59" s="128">
        <f>ROUND(C57/C47,4)</f>
        <v>0</v>
      </c>
      <c r="D59" s="4"/>
    </row>
    <row r="60" spans="1:4" hidden="1"/>
    <row r="61" spans="1:4" hidden="1"/>
    <row r="62" spans="1:4" hidden="1"/>
    <row r="63" spans="1:4" hidden="1"/>
    <row r="64" spans="1:4" s="9" customFormat="1">
      <c r="A64" s="1">
        <v>10</v>
      </c>
      <c r="B64" s="2" t="s">
        <v>194</v>
      </c>
      <c r="C64" s="16"/>
      <c r="D64" s="8"/>
    </row>
    <row r="65" spans="1:4">
      <c r="A65" s="3"/>
      <c r="B65" s="4"/>
      <c r="C65" s="14"/>
      <c r="D65" s="4"/>
    </row>
    <row r="66" spans="1:4" s="9" customFormat="1">
      <c r="A66" s="1" t="s">
        <v>204</v>
      </c>
      <c r="B66" s="2" t="s">
        <v>205</v>
      </c>
      <c r="C66" s="16">
        <f>C78</f>
        <v>159.13999999999999</v>
      </c>
      <c r="D66" s="8" t="s">
        <v>510</v>
      </c>
    </row>
    <row r="67" spans="1:4">
      <c r="A67" s="5"/>
      <c r="B67" s="6"/>
      <c r="C67" s="142"/>
      <c r="D67" s="125"/>
    </row>
    <row r="68" spans="1:4">
      <c r="A68" s="5"/>
      <c r="B68" s="6" t="s">
        <v>511</v>
      </c>
      <c r="C68" s="125">
        <v>1114</v>
      </c>
      <c r="D68" s="127" t="s">
        <v>512</v>
      </c>
    </row>
    <row r="69" spans="1:4">
      <c r="A69" s="3"/>
      <c r="B69" s="4"/>
      <c r="C69" s="14"/>
      <c r="D69" s="4"/>
    </row>
    <row r="70" spans="1:4">
      <c r="A70" s="3"/>
      <c r="B70" s="6" t="s">
        <v>513</v>
      </c>
      <c r="C70" s="18">
        <v>7</v>
      </c>
      <c r="D70" s="6" t="s">
        <v>514</v>
      </c>
    </row>
    <row r="71" spans="1:4">
      <c r="A71" s="3"/>
      <c r="B71" s="6"/>
      <c r="C71" s="18"/>
      <c r="D71" s="6"/>
    </row>
    <row r="72" spans="1:4">
      <c r="A72" s="3"/>
      <c r="B72" s="4" t="s">
        <v>515</v>
      </c>
      <c r="C72" s="14">
        <v>1</v>
      </c>
      <c r="D72" s="4" t="s">
        <v>516</v>
      </c>
    </row>
    <row r="73" spans="1:4">
      <c r="A73" s="3"/>
      <c r="B73" s="6"/>
      <c r="C73" s="18"/>
      <c r="D73" s="6"/>
    </row>
    <row r="74" spans="1:4">
      <c r="A74" s="3"/>
      <c r="B74" s="129" t="s">
        <v>517</v>
      </c>
      <c r="C74" s="18"/>
      <c r="D74" s="6"/>
    </row>
    <row r="75" spans="1:4" ht="13.5" thickBot="1">
      <c r="A75" s="3"/>
      <c r="B75" s="130" t="s">
        <v>518</v>
      </c>
    </row>
    <row r="76" spans="1:4" ht="13.5" thickBot="1">
      <c r="A76" s="3"/>
      <c r="B76" s="131" t="s">
        <v>519</v>
      </c>
      <c r="C76" s="18">
        <f>C72*C68/C70</f>
        <v>159.14285714285714</v>
      </c>
      <c r="D76" s="6" t="s">
        <v>510</v>
      </c>
    </row>
    <row r="77" spans="1:4">
      <c r="A77" s="3"/>
      <c r="B77" s="6"/>
      <c r="C77" s="18"/>
      <c r="D77" s="6"/>
    </row>
    <row r="78" spans="1:4">
      <c r="A78" s="3"/>
      <c r="B78" s="126" t="s">
        <v>520</v>
      </c>
      <c r="C78" s="14">
        <f>ROUND(C76,2)</f>
        <v>159.13999999999999</v>
      </c>
      <c r="D78" s="4" t="s">
        <v>512</v>
      </c>
    </row>
    <row r="79" spans="1:4">
      <c r="A79" s="3"/>
      <c r="B79" s="6"/>
      <c r="C79" s="18"/>
      <c r="D79" s="6"/>
    </row>
    <row r="80" spans="1:4">
      <c r="A80" s="3"/>
      <c r="B80" s="126" t="s">
        <v>521</v>
      </c>
      <c r="C80" s="128">
        <f>ROUND(C78/C68,4)</f>
        <v>0.1429</v>
      </c>
      <c r="D80" s="4"/>
    </row>
    <row r="81" spans="1:4">
      <c r="A81" s="3"/>
      <c r="B81" s="126"/>
      <c r="C81" s="128"/>
      <c r="D81" s="4"/>
    </row>
    <row r="82" spans="1:4" s="9" customFormat="1">
      <c r="A82" s="1" t="s">
        <v>207</v>
      </c>
      <c r="B82" s="2" t="s">
        <v>208</v>
      </c>
      <c r="C82" s="16">
        <f>C94</f>
        <v>159.13999999999999</v>
      </c>
      <c r="D82" s="8" t="s">
        <v>510</v>
      </c>
    </row>
    <row r="83" spans="1:4">
      <c r="A83" s="5"/>
      <c r="B83" s="6"/>
      <c r="C83" s="5"/>
      <c r="D83" s="4"/>
    </row>
    <row r="84" spans="1:4">
      <c r="A84" s="5"/>
      <c r="B84" s="6" t="s">
        <v>511</v>
      </c>
      <c r="C84" s="125">
        <v>1114</v>
      </c>
      <c r="D84" s="127" t="s">
        <v>512</v>
      </c>
    </row>
    <row r="85" spans="1:4">
      <c r="A85" s="3"/>
      <c r="B85" s="4"/>
      <c r="C85" s="14"/>
      <c r="D85" s="4"/>
    </row>
    <row r="86" spans="1:4">
      <c r="A86" s="3"/>
      <c r="B86" s="6" t="s">
        <v>513</v>
      </c>
      <c r="C86" s="18">
        <v>7</v>
      </c>
      <c r="D86" s="6" t="s">
        <v>514</v>
      </c>
    </row>
    <row r="87" spans="1:4">
      <c r="A87" s="3"/>
      <c r="B87" s="6"/>
      <c r="C87" s="18"/>
      <c r="D87" s="6"/>
    </row>
    <row r="88" spans="1:4" s="12" customFormat="1">
      <c r="A88" s="3"/>
      <c r="B88" s="4" t="s">
        <v>515</v>
      </c>
      <c r="C88" s="14">
        <v>1</v>
      </c>
      <c r="D88" s="4" t="s">
        <v>516</v>
      </c>
    </row>
    <row r="89" spans="1:4">
      <c r="A89" s="3"/>
      <c r="B89" s="6"/>
      <c r="C89" s="18"/>
      <c r="D89" s="6"/>
    </row>
    <row r="90" spans="1:4">
      <c r="A90" s="3"/>
      <c r="B90" s="129" t="s">
        <v>517</v>
      </c>
      <c r="C90" s="18"/>
      <c r="D90" s="6"/>
    </row>
    <row r="91" spans="1:4" ht="13.5" thickBot="1">
      <c r="A91" s="3"/>
      <c r="B91" s="130" t="s">
        <v>518</v>
      </c>
    </row>
    <row r="92" spans="1:4" ht="13.5" thickBot="1">
      <c r="A92" s="3"/>
      <c r="B92" s="131" t="s">
        <v>519</v>
      </c>
      <c r="C92" s="18">
        <f>C88*C84/C86</f>
        <v>159.14285714285714</v>
      </c>
      <c r="D92" s="6" t="s">
        <v>510</v>
      </c>
    </row>
    <row r="93" spans="1:4" s="101" customFormat="1">
      <c r="A93" s="3"/>
      <c r="B93" s="6"/>
      <c r="C93" s="18"/>
      <c r="D93" s="6"/>
    </row>
    <row r="94" spans="1:4">
      <c r="A94" s="3"/>
      <c r="B94" s="126" t="s">
        <v>520</v>
      </c>
      <c r="C94" s="14">
        <f>ROUND(C92,2)</f>
        <v>159.13999999999999</v>
      </c>
      <c r="D94" s="4" t="s">
        <v>512</v>
      </c>
    </row>
    <row r="95" spans="1:4" s="102" customFormat="1">
      <c r="A95" s="3"/>
      <c r="B95" s="6"/>
      <c r="C95" s="18"/>
      <c r="D95" s="6"/>
    </row>
    <row r="96" spans="1:4">
      <c r="A96" s="3"/>
      <c r="B96" s="126" t="s">
        <v>521</v>
      </c>
      <c r="C96" s="128">
        <f>ROUND(C94/C84,4)</f>
        <v>0.1429</v>
      </c>
      <c r="D96" s="4"/>
    </row>
  </sheetData>
  <printOptions horizontalCentered="1"/>
  <pageMargins left="0.39370078740157483" right="0.39370078740157483" top="0.39370078740157483" bottom="0.98425196850393704" header="0.31496062992125984" footer="0.31496062992125984"/>
  <pageSetup paperSize="9" scale="74" orientation="portrait" horizontalDpi="300" verticalDpi="300" r:id="rId1"/>
  <headerFooter alignWithMargins="0">
    <oddFooter>&amp;LClarice Maria Lima FortesCNPJ: 18.228.092/0001-27&amp;C&amp;P/&amp;N&amp;RSabrina Livia de Medeiros PereiraEngenheira CivilCREA: 160495993-2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topLeftCell="A7" zoomScale="150" workbookViewId="0">
      <selection activeCell="D13" sqref="D13"/>
    </sheetView>
  </sheetViews>
  <sheetFormatPr defaultRowHeight="18.75"/>
  <cols>
    <col min="1" max="1" width="47.5703125" style="110" customWidth="1"/>
    <col min="2" max="2" width="20.7109375" style="111" customWidth="1"/>
    <col min="3" max="3" width="13.28515625" style="107" customWidth="1"/>
    <col min="4" max="4" width="14.42578125" style="107" customWidth="1"/>
    <col min="5" max="16384" width="9.140625" style="107"/>
  </cols>
  <sheetData>
    <row r="1" spans="1:4" ht="19.5" thickBot="1">
      <c r="A1" s="359" t="s">
        <v>522</v>
      </c>
      <c r="B1" s="360"/>
      <c r="C1" s="361"/>
    </row>
    <row r="2" spans="1:4">
      <c r="A2" s="122" t="s">
        <v>506</v>
      </c>
      <c r="B2" s="122" t="s">
        <v>523</v>
      </c>
      <c r="C2" s="122" t="s">
        <v>524</v>
      </c>
    </row>
    <row r="3" spans="1:4">
      <c r="A3" s="118" t="s">
        <v>525</v>
      </c>
      <c r="B3" s="119">
        <v>62112.09</v>
      </c>
      <c r="C3" s="120" t="s">
        <v>526</v>
      </c>
    </row>
    <row r="4" spans="1:4">
      <c r="A4" s="118" t="s">
        <v>527</v>
      </c>
      <c r="B4" s="119">
        <v>32073.11</v>
      </c>
      <c r="C4" s="120" t="s">
        <v>526</v>
      </c>
    </row>
    <row r="5" spans="1:4">
      <c r="A5" s="118" t="s">
        <v>528</v>
      </c>
      <c r="B5" s="119">
        <v>11237.65</v>
      </c>
      <c r="C5" s="120" t="s">
        <v>526</v>
      </c>
    </row>
    <row r="6" spans="1:4">
      <c r="A6" s="118" t="s">
        <v>529</v>
      </c>
      <c r="B6" s="119">
        <v>17485.513199999998</v>
      </c>
      <c r="C6" s="120" t="s">
        <v>526</v>
      </c>
    </row>
    <row r="7" spans="1:4">
      <c r="A7" s="118" t="s">
        <v>530</v>
      </c>
      <c r="B7" s="119" t="e">
        <f>'PLAN. ORÇAMENTO'!AA233</f>
        <v>#REF!</v>
      </c>
      <c r="C7" s="120" t="s">
        <v>526</v>
      </c>
    </row>
    <row r="8" spans="1:4">
      <c r="A8" s="116" t="s">
        <v>531</v>
      </c>
      <c r="B8" s="117" t="e">
        <f>'PLAN. ORÇAMENTO'!AA233</f>
        <v>#REF!</v>
      </c>
      <c r="C8" s="121" t="s">
        <v>532</v>
      </c>
    </row>
    <row r="9" spans="1:4" s="136" customFormat="1" ht="17.25">
      <c r="A9" s="133" t="s">
        <v>533</v>
      </c>
      <c r="B9" s="134" t="e">
        <f>SUM(B3:B7)</f>
        <v>#REF!</v>
      </c>
      <c r="C9" s="135"/>
    </row>
    <row r="10" spans="1:4">
      <c r="A10" s="112" t="s">
        <v>532</v>
      </c>
      <c r="B10" s="113" t="e">
        <f>B8</f>
        <v>#REF!</v>
      </c>
    </row>
    <row r="11" spans="1:4">
      <c r="A11" s="114" t="s">
        <v>534</v>
      </c>
      <c r="B11" s="115" t="e">
        <f>SUM(B9:B10)</f>
        <v>#REF!</v>
      </c>
      <c r="C11" s="132"/>
      <c r="D11" s="132"/>
    </row>
    <row r="13" spans="1:4">
      <c r="A13" s="114" t="s">
        <v>535</v>
      </c>
      <c r="B13" s="115">
        <v>550194.43999999994</v>
      </c>
      <c r="C13" s="132"/>
      <c r="D13" s="132"/>
    </row>
    <row r="14" spans="1:4">
      <c r="A14" s="108"/>
      <c r="B14" s="109"/>
    </row>
    <row r="15" spans="1:4">
      <c r="A15" s="123" t="s">
        <v>536</v>
      </c>
      <c r="B15" s="124" t="e">
        <f>B13-B9</f>
        <v>#REF!</v>
      </c>
    </row>
    <row r="16" spans="1:4">
      <c r="A16" s="116" t="s">
        <v>537</v>
      </c>
      <c r="B16" s="117" t="e">
        <f>B13-B11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P298"/>
  <sheetViews>
    <sheetView tabSelected="1" topLeftCell="C18" workbookViewId="0">
      <pane ySplit="2265" topLeftCell="A287" activePane="bottomLeft"/>
      <selection activeCell="L69" sqref="L69"/>
      <selection pane="bottomLeft" activeCell="L295" sqref="L295"/>
    </sheetView>
  </sheetViews>
  <sheetFormatPr defaultRowHeight="12.75"/>
  <cols>
    <col min="1" max="1" width="7.42578125" style="228" customWidth="1"/>
    <col min="2" max="2" width="49.42578125" style="228" customWidth="1"/>
    <col min="3" max="3" width="9.42578125" style="228" customWidth="1"/>
    <col min="4" max="4" width="11.5703125" style="370" customWidth="1"/>
    <col min="5" max="5" width="13" style="263" customWidth="1"/>
    <col min="6" max="6" width="22.5703125" style="237" customWidth="1"/>
    <col min="7" max="7" width="11" style="248" customWidth="1"/>
    <col min="8" max="8" width="12.140625" style="464" customWidth="1"/>
    <col min="9" max="9" width="11.28515625" style="249" customWidth="1"/>
    <col min="10" max="10" width="5.5703125" style="246" hidden="1" customWidth="1"/>
    <col min="11" max="11" width="17.5703125" style="237" customWidth="1"/>
    <col min="12" max="12" width="22.28515625" style="251" customWidth="1"/>
    <col min="13" max="13" width="22.28515625" style="228" customWidth="1"/>
    <col min="14" max="14" width="19" style="228" customWidth="1"/>
    <col min="15" max="15" width="19.140625" style="228" customWidth="1"/>
    <col min="16" max="16" width="10.28515625" style="228" customWidth="1"/>
    <col min="17" max="16384" width="9.140625" style="228"/>
  </cols>
  <sheetData>
    <row r="2" spans="1:16" ht="14.25" customHeight="1">
      <c r="A2" s="515" t="s">
        <v>538</v>
      </c>
      <c r="B2" s="515"/>
      <c r="C2" s="515"/>
      <c r="D2" s="368"/>
      <c r="E2" s="250"/>
      <c r="F2" s="250"/>
      <c r="G2" s="250"/>
      <c r="H2" s="463"/>
      <c r="I2" s="250"/>
      <c r="J2" s="250"/>
      <c r="K2" s="250"/>
      <c r="L2" s="250"/>
      <c r="M2" s="250"/>
      <c r="N2" s="227"/>
      <c r="O2" s="227"/>
      <c r="P2" s="227"/>
    </row>
    <row r="3" spans="1:16" ht="41.25" customHeight="1">
      <c r="A3" s="515" t="s">
        <v>539</v>
      </c>
      <c r="B3" s="515"/>
      <c r="C3" s="515"/>
      <c r="D3" s="368"/>
      <c r="E3" s="250"/>
      <c r="F3" s="250"/>
      <c r="G3" s="250"/>
      <c r="H3" s="463"/>
      <c r="I3" s="250"/>
      <c r="J3" s="250"/>
      <c r="K3" s="250"/>
      <c r="L3" s="250"/>
      <c r="M3" s="250"/>
      <c r="N3" s="227"/>
      <c r="O3" s="227"/>
      <c r="P3" s="227"/>
    </row>
    <row r="4" spans="1:16" ht="51.75" hidden="1" customHeight="1">
      <c r="A4" s="362" t="s">
        <v>540</v>
      </c>
      <c r="B4" s="362"/>
      <c r="C4" s="250"/>
      <c r="D4" s="369"/>
      <c r="E4" s="250"/>
      <c r="F4" s="250"/>
      <c r="G4" s="250"/>
      <c r="H4" s="463"/>
      <c r="I4" s="250"/>
      <c r="J4" s="250"/>
      <c r="K4" s="250"/>
      <c r="L4" s="250"/>
      <c r="M4" s="250"/>
      <c r="N4" s="227"/>
      <c r="O4" s="227"/>
      <c r="P4" s="227"/>
    </row>
    <row r="5" spans="1:16" ht="3" customHeight="1"/>
    <row r="6" spans="1:16" ht="25.5" customHeight="1">
      <c r="A6" s="493" t="s">
        <v>0</v>
      </c>
      <c r="B6" s="494"/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5"/>
    </row>
    <row r="7" spans="1:16" ht="27.75" customHeight="1">
      <c r="A7" s="516" t="s">
        <v>1</v>
      </c>
      <c r="B7" s="517"/>
      <c r="C7" s="517"/>
      <c r="D7" s="517"/>
      <c r="E7" s="518"/>
      <c r="F7" s="230" t="s">
        <v>2</v>
      </c>
      <c r="G7" s="231" t="s">
        <v>3</v>
      </c>
      <c r="H7" s="509" t="s">
        <v>4</v>
      </c>
      <c r="I7" s="510"/>
      <c r="J7" s="510"/>
      <c r="K7" s="511"/>
      <c r="L7" s="505" t="s">
        <v>5</v>
      </c>
      <c r="M7" s="506"/>
    </row>
    <row r="8" spans="1:16" ht="14.25" customHeight="1">
      <c r="A8" s="490" t="s">
        <v>539</v>
      </c>
      <c r="B8" s="491"/>
      <c r="C8" s="491"/>
      <c r="D8" s="491"/>
      <c r="E8" s="492"/>
      <c r="F8" s="461">
        <v>10</v>
      </c>
      <c r="G8" s="462">
        <v>45122</v>
      </c>
      <c r="H8" s="512" t="s">
        <v>922</v>
      </c>
      <c r="I8" s="513"/>
      <c r="J8" s="513"/>
      <c r="K8" s="514"/>
      <c r="L8" s="507">
        <v>43865</v>
      </c>
      <c r="M8" s="508"/>
    </row>
    <row r="9" spans="1:16" ht="24.75" customHeight="1">
      <c r="A9" s="516" t="s">
        <v>8</v>
      </c>
      <c r="B9" s="517"/>
      <c r="C9" s="517"/>
      <c r="D9" s="517"/>
      <c r="E9" s="518"/>
      <c r="F9" s="230" t="s">
        <v>9</v>
      </c>
      <c r="G9" s="231" t="s">
        <v>10</v>
      </c>
      <c r="H9" s="509" t="s">
        <v>11</v>
      </c>
      <c r="I9" s="510"/>
      <c r="J9" s="510"/>
      <c r="K9" s="511"/>
      <c r="L9" s="505" t="s">
        <v>12</v>
      </c>
      <c r="M9" s="506"/>
      <c r="N9" s="291"/>
    </row>
    <row r="10" spans="1:16" ht="15" customHeight="1">
      <c r="A10" s="490" t="s">
        <v>541</v>
      </c>
      <c r="B10" s="491"/>
      <c r="C10" s="491"/>
      <c r="D10" s="491"/>
      <c r="E10" s="492"/>
      <c r="F10" s="232" t="s">
        <v>542</v>
      </c>
      <c r="G10" s="288">
        <v>43866</v>
      </c>
      <c r="H10" s="496">
        <v>45125</v>
      </c>
      <c r="I10" s="497"/>
      <c r="J10" s="497"/>
      <c r="K10" s="498"/>
      <c r="L10" s="507" t="s">
        <v>543</v>
      </c>
      <c r="M10" s="508"/>
    </row>
    <row r="11" spans="1:16" ht="13.5" customHeight="1">
      <c r="A11" s="516" t="s">
        <v>16</v>
      </c>
      <c r="B11" s="517"/>
      <c r="C11" s="517"/>
      <c r="D11" s="517"/>
      <c r="E11" s="518"/>
      <c r="F11" s="499" t="s">
        <v>17</v>
      </c>
      <c r="G11" s="500"/>
      <c r="H11" s="500"/>
      <c r="I11" s="500"/>
      <c r="J11" s="500"/>
      <c r="K11" s="501"/>
      <c r="L11" s="505" t="s">
        <v>18</v>
      </c>
      <c r="M11" s="506"/>
    </row>
    <row r="12" spans="1:16" ht="25.5" customHeight="1">
      <c r="A12" s="522" t="s">
        <v>544</v>
      </c>
      <c r="B12" s="523"/>
      <c r="C12" s="523"/>
      <c r="D12" s="523"/>
      <c r="E12" s="524"/>
      <c r="F12" s="502" t="s">
        <v>545</v>
      </c>
      <c r="G12" s="503"/>
      <c r="H12" s="503"/>
      <c r="I12" s="503"/>
      <c r="J12" s="503"/>
      <c r="K12" s="504"/>
      <c r="L12" s="525">
        <f>SUM(F17,F24,F29,F60,F107,F110,F122,F126,F140,F178,F215,F255,F262,F268,F276,F285)-0.01</f>
        <v>884478.5520626998</v>
      </c>
      <c r="M12" s="526"/>
      <c r="N12" s="291"/>
    </row>
    <row r="13" spans="1:16" ht="16.5" customHeight="1">
      <c r="A13" s="485"/>
      <c r="B13" s="484"/>
      <c r="C13" s="484"/>
      <c r="D13" s="484"/>
      <c r="E13" s="484"/>
      <c r="F13" s="486"/>
      <c r="G13" s="531" t="s">
        <v>21</v>
      </c>
      <c r="H13" s="532"/>
      <c r="I13" s="532"/>
      <c r="J13" s="532"/>
      <c r="K13" s="533"/>
      <c r="L13" s="525">
        <f>L290</f>
        <v>134788.82428545001</v>
      </c>
      <c r="M13" s="526"/>
      <c r="N13" s="254"/>
    </row>
    <row r="14" spans="1:16" ht="14.25" customHeight="1">
      <c r="A14" s="519"/>
      <c r="B14" s="520"/>
      <c r="C14" s="519" t="s">
        <v>29</v>
      </c>
      <c r="D14" s="527"/>
      <c r="E14" s="527"/>
      <c r="F14" s="520"/>
      <c r="G14" s="528" t="s">
        <v>546</v>
      </c>
      <c r="H14" s="529"/>
      <c r="I14" s="530"/>
      <c r="J14" s="233"/>
      <c r="K14" s="519" t="s">
        <v>31</v>
      </c>
      <c r="L14" s="527"/>
      <c r="M14" s="520"/>
    </row>
    <row r="15" spans="1:16" ht="43.5" customHeight="1">
      <c r="A15" s="384" t="s">
        <v>27</v>
      </c>
      <c r="B15" s="244" t="s">
        <v>28</v>
      </c>
      <c r="C15" s="239" t="s">
        <v>32</v>
      </c>
      <c r="D15" s="239" t="s">
        <v>33</v>
      </c>
      <c r="E15" s="240" t="s">
        <v>34</v>
      </c>
      <c r="F15" s="240" t="s">
        <v>37</v>
      </c>
      <c r="G15" s="242" t="s">
        <v>52</v>
      </c>
      <c r="H15" s="242" t="s">
        <v>53</v>
      </c>
      <c r="I15" s="242" t="s">
        <v>54</v>
      </c>
      <c r="J15" s="241" t="s">
        <v>40</v>
      </c>
      <c r="K15" s="240" t="s">
        <v>55</v>
      </c>
      <c r="L15" s="241" t="s">
        <v>53</v>
      </c>
      <c r="M15" s="384" t="s">
        <v>56</v>
      </c>
    </row>
    <row r="16" spans="1:16" ht="8.1" customHeight="1">
      <c r="A16" s="519"/>
      <c r="B16" s="527"/>
      <c r="C16" s="527"/>
      <c r="D16" s="527"/>
      <c r="E16" s="527"/>
      <c r="F16" s="527"/>
      <c r="G16" s="527"/>
      <c r="H16" s="527"/>
      <c r="I16" s="527"/>
      <c r="J16" s="527"/>
      <c r="K16" s="527"/>
      <c r="L16" s="527"/>
      <c r="M16" s="520"/>
    </row>
    <row r="17" spans="1:16" s="416" customFormat="1" ht="18">
      <c r="A17" s="407" t="s">
        <v>547</v>
      </c>
      <c r="B17" s="481" t="s">
        <v>57</v>
      </c>
      <c r="C17" s="482"/>
      <c r="D17" s="482"/>
      <c r="E17" s="483"/>
      <c r="F17" s="408">
        <f>SUM(F19:F22)</f>
        <v>12655.240407999998</v>
      </c>
      <c r="G17" s="409"/>
      <c r="H17" s="465"/>
      <c r="I17" s="410"/>
      <c r="J17" s="411"/>
      <c r="K17" s="412">
        <f>SUM(K19:K22)</f>
        <v>10730.522008</v>
      </c>
      <c r="L17" s="413">
        <f>SUM(L19:L22)</f>
        <v>0</v>
      </c>
      <c r="M17" s="414">
        <f>SUM(M19:M22)</f>
        <v>10730.522008</v>
      </c>
      <c r="N17" s="415"/>
    </row>
    <row r="18" spans="1:16" s="416" customFormat="1" ht="8.1" customHeight="1">
      <c r="A18" s="534"/>
      <c r="B18" s="535"/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536"/>
      <c r="N18" s="415"/>
    </row>
    <row r="19" spans="1:16" s="245" customFormat="1" ht="38.25">
      <c r="A19" s="373" t="s">
        <v>58</v>
      </c>
      <c r="B19" s="264" t="s">
        <v>548</v>
      </c>
      <c r="C19" s="259" t="s">
        <v>189</v>
      </c>
      <c r="D19" s="372">
        <v>134</v>
      </c>
      <c r="E19" s="385">
        <v>34.572600000000001</v>
      </c>
      <c r="F19" s="235">
        <f>E19*D19</f>
        <v>4632.7284</v>
      </c>
      <c r="G19" s="269">
        <v>134</v>
      </c>
      <c r="H19" s="466"/>
      <c r="I19" s="268">
        <v>134</v>
      </c>
      <c r="J19" s="235"/>
      <c r="K19" s="271">
        <v>4632.6499999999996</v>
      </c>
      <c r="L19" s="398"/>
      <c r="M19" s="397">
        <f>K19</f>
        <v>4632.6499999999996</v>
      </c>
      <c r="N19" s="252"/>
    </row>
    <row r="20" spans="1:16" s="245" customFormat="1" ht="25.5">
      <c r="A20" s="373" t="s">
        <v>62</v>
      </c>
      <c r="B20" s="229" t="s">
        <v>549</v>
      </c>
      <c r="C20" s="259" t="s">
        <v>152</v>
      </c>
      <c r="D20" s="372">
        <v>1</v>
      </c>
      <c r="E20" s="385">
        <v>1758.7</v>
      </c>
      <c r="F20" s="235">
        <f>E20*D20</f>
        <v>1758.7</v>
      </c>
      <c r="G20" s="247"/>
      <c r="H20" s="466"/>
      <c r="I20" s="235"/>
      <c r="J20" s="235"/>
      <c r="K20" s="234"/>
      <c r="L20" s="399"/>
      <c r="M20" s="399"/>
      <c r="N20" s="252"/>
    </row>
    <row r="21" spans="1:16" s="245" customFormat="1">
      <c r="A21" s="373" t="s">
        <v>65</v>
      </c>
      <c r="B21" s="374" t="s">
        <v>550</v>
      </c>
      <c r="C21" s="259" t="s">
        <v>60</v>
      </c>
      <c r="D21" s="372">
        <v>10</v>
      </c>
      <c r="E21" s="385">
        <v>351.38099999999997</v>
      </c>
      <c r="F21" s="235">
        <f>E21*D21</f>
        <v>3513.8099999999995</v>
      </c>
      <c r="G21" s="269">
        <v>10</v>
      </c>
      <c r="H21" s="466"/>
      <c r="I21" s="268">
        <v>10</v>
      </c>
      <c r="J21" s="235"/>
      <c r="K21" s="234">
        <v>3347.87</v>
      </c>
      <c r="L21" s="400"/>
      <c r="M21" s="390">
        <f>3347.87</f>
        <v>3347.87</v>
      </c>
      <c r="N21" s="252"/>
    </row>
    <row r="22" spans="1:16" s="245" customFormat="1" ht="25.5">
      <c r="A22" s="373" t="s">
        <v>68</v>
      </c>
      <c r="B22" s="258" t="s">
        <v>551</v>
      </c>
      <c r="C22" s="259" t="s">
        <v>60</v>
      </c>
      <c r="D22" s="260">
        <v>1200</v>
      </c>
      <c r="E22" s="386">
        <f>2.21*1.3126*0.79</f>
        <v>2.2916683400000002</v>
      </c>
      <c r="F22" s="235">
        <f>D22*E22</f>
        <v>2750.0020080000004</v>
      </c>
      <c r="G22" s="269">
        <v>1200</v>
      </c>
      <c r="H22" s="269"/>
      <c r="I22" s="268">
        <v>1200</v>
      </c>
      <c r="J22" s="235"/>
      <c r="K22" s="271">
        <f>E22*G22</f>
        <v>2750.0020080000004</v>
      </c>
      <c r="L22" s="397"/>
      <c r="M22" s="397">
        <f>K22+L22</f>
        <v>2750.0020080000004</v>
      </c>
      <c r="N22" s="252"/>
    </row>
    <row r="23" spans="1:16" s="245" customFormat="1" ht="8.1" customHeight="1">
      <c r="A23" s="521"/>
      <c r="B23" s="521"/>
      <c r="C23" s="521"/>
      <c r="D23" s="521"/>
      <c r="E23" s="521"/>
      <c r="F23" s="521"/>
      <c r="G23" s="521"/>
      <c r="H23" s="521"/>
      <c r="I23" s="521"/>
      <c r="J23" s="521"/>
      <c r="K23" s="521"/>
      <c r="L23" s="521"/>
      <c r="M23" s="521"/>
      <c r="N23" s="252"/>
      <c r="O23" s="260"/>
    </row>
    <row r="24" spans="1:16" s="419" customFormat="1" ht="18">
      <c r="A24" s="407" t="s">
        <v>552</v>
      </c>
      <c r="B24" s="481" t="s">
        <v>78</v>
      </c>
      <c r="C24" s="482"/>
      <c r="D24" s="482"/>
      <c r="E24" s="483"/>
      <c r="F24" s="408">
        <f>SUM(F26:F27)</f>
        <v>21241.503113799998</v>
      </c>
      <c r="G24" s="409"/>
      <c r="H24" s="465"/>
      <c r="I24" s="410"/>
      <c r="J24" s="411"/>
      <c r="K24" s="417">
        <f>SUM(K26:K27)</f>
        <v>18428.159780599999</v>
      </c>
      <c r="L24" s="418"/>
      <c r="M24" s="414">
        <f>SUM(M26:M27)</f>
        <v>18428.159780599999</v>
      </c>
      <c r="N24" s="415"/>
    </row>
    <row r="25" spans="1:16" s="419" customFormat="1" ht="8.1" customHeight="1">
      <c r="A25" s="534"/>
      <c r="B25" s="535"/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6"/>
      <c r="N25" s="415"/>
    </row>
    <row r="26" spans="1:16" s="245" customFormat="1" ht="25.5">
      <c r="A26" s="259" t="s">
        <v>79</v>
      </c>
      <c r="B26" s="264" t="s">
        <v>553</v>
      </c>
      <c r="C26" s="259" t="s">
        <v>81</v>
      </c>
      <c r="D26" s="372">
        <v>81.209999999999994</v>
      </c>
      <c r="E26" s="385">
        <v>52.514699999999998</v>
      </c>
      <c r="F26" s="235">
        <f>E26*D26</f>
        <v>4264.7187869999998</v>
      </c>
      <c r="G26" s="269">
        <f>24.99+21.79</f>
        <v>46.78</v>
      </c>
      <c r="H26" s="269"/>
      <c r="I26" s="268">
        <v>46.78</v>
      </c>
      <c r="J26" s="235"/>
      <c r="K26" s="271">
        <f>E26*G26</f>
        <v>2456.6376660000001</v>
      </c>
      <c r="L26" s="397"/>
      <c r="M26" s="397">
        <f>E26*I26</f>
        <v>2456.6376660000001</v>
      </c>
      <c r="N26" s="252"/>
      <c r="O26" s="260"/>
    </row>
    <row r="27" spans="1:16" s="245" customFormat="1" ht="25.5">
      <c r="A27" s="375" t="s">
        <v>83</v>
      </c>
      <c r="B27" s="264" t="s">
        <v>554</v>
      </c>
      <c r="C27" s="259" t="s">
        <v>81</v>
      </c>
      <c r="D27" s="372">
        <v>501.74</v>
      </c>
      <c r="E27" s="385">
        <v>33.835819999999998</v>
      </c>
      <c r="F27" s="235">
        <f>D27*E27</f>
        <v>16976.7843268</v>
      </c>
      <c r="G27" s="269">
        <v>472.03</v>
      </c>
      <c r="H27" s="247"/>
      <c r="I27" s="268">
        <f>120.18+312.74+39.11</f>
        <v>472.03000000000003</v>
      </c>
      <c r="J27" s="235"/>
      <c r="K27" s="271">
        <f>E27*G27</f>
        <v>15971.522114599999</v>
      </c>
      <c r="L27" s="397"/>
      <c r="M27" s="397">
        <f>E27*I27</f>
        <v>15971.5221146</v>
      </c>
      <c r="N27" s="252"/>
      <c r="O27" s="283"/>
      <c r="P27" s="257"/>
    </row>
    <row r="28" spans="1:16" s="245" customFormat="1" ht="8.1" customHeight="1">
      <c r="A28" s="484"/>
      <c r="B28" s="484"/>
      <c r="C28" s="484"/>
      <c r="D28" s="484"/>
      <c r="E28" s="484"/>
      <c r="F28" s="484"/>
      <c r="G28" s="484"/>
      <c r="H28" s="484"/>
      <c r="I28" s="484"/>
      <c r="J28" s="484"/>
      <c r="K28" s="484"/>
      <c r="L28" s="484"/>
      <c r="M28" s="484"/>
      <c r="N28" s="252"/>
    </row>
    <row r="29" spans="1:16" s="416" customFormat="1" ht="18">
      <c r="A29" s="407" t="s">
        <v>555</v>
      </c>
      <c r="B29" s="481" t="s">
        <v>556</v>
      </c>
      <c r="C29" s="482"/>
      <c r="D29" s="482"/>
      <c r="E29" s="483"/>
      <c r="F29" s="408">
        <f>SUM(F31,F48,F52)</f>
        <v>154444.67011470001</v>
      </c>
      <c r="G29" s="409"/>
      <c r="H29" s="465"/>
      <c r="I29" s="410"/>
      <c r="J29" s="411"/>
      <c r="K29" s="420">
        <f>K31+K48+K52</f>
        <v>110580.87231810001</v>
      </c>
      <c r="L29" s="418"/>
      <c r="M29" s="418">
        <f>SUM(M31,M48,M52)</f>
        <v>110580.87231810001</v>
      </c>
      <c r="N29" s="415"/>
      <c r="O29" s="421"/>
    </row>
    <row r="30" spans="1:16" s="416" customFormat="1" ht="8.1" customHeight="1">
      <c r="A30" s="534"/>
      <c r="B30" s="535"/>
      <c r="C30" s="535"/>
      <c r="D30" s="535"/>
      <c r="E30" s="535"/>
      <c r="F30" s="535"/>
      <c r="G30" s="535"/>
      <c r="H30" s="535"/>
      <c r="I30" s="535"/>
      <c r="J30" s="535"/>
      <c r="K30" s="535"/>
      <c r="L30" s="535"/>
      <c r="M30" s="536"/>
      <c r="N30" s="415"/>
      <c r="O30" s="421"/>
    </row>
    <row r="31" spans="1:16" s="280" customFormat="1" ht="15.75">
      <c r="A31" s="455" t="s">
        <v>95</v>
      </c>
      <c r="B31" s="537" t="s">
        <v>557</v>
      </c>
      <c r="C31" s="538"/>
      <c r="D31" s="538"/>
      <c r="E31" s="539"/>
      <c r="F31" s="278">
        <f>SUM(F33:F46)-0.01</f>
        <v>63766.269369499998</v>
      </c>
      <c r="G31" s="276"/>
      <c r="H31" s="467"/>
      <c r="I31" s="277"/>
      <c r="J31" s="275"/>
      <c r="K31" s="279">
        <f>SUM(K33:K46)</f>
        <v>35914.792495000002</v>
      </c>
      <c r="L31" s="401"/>
      <c r="M31" s="401">
        <f>SUM(M33:M46)</f>
        <v>35914.792495000002</v>
      </c>
      <c r="N31" s="294"/>
    </row>
    <row r="32" spans="1:16" s="280" customFormat="1" ht="8.1" customHeight="1">
      <c r="A32" s="543"/>
      <c r="B32" s="544"/>
      <c r="C32" s="544"/>
      <c r="D32" s="544"/>
      <c r="E32" s="544"/>
      <c r="F32" s="544"/>
      <c r="G32" s="544"/>
      <c r="H32" s="544"/>
      <c r="I32" s="544"/>
      <c r="J32" s="544"/>
      <c r="K32" s="544"/>
      <c r="L32" s="544"/>
      <c r="M32" s="545"/>
      <c r="N32" s="294"/>
    </row>
    <row r="33" spans="1:15" ht="25.5">
      <c r="A33" s="259" t="s">
        <v>97</v>
      </c>
      <c r="B33" s="229" t="s">
        <v>558</v>
      </c>
      <c r="C33" s="259" t="s">
        <v>81</v>
      </c>
      <c r="D33" s="372">
        <v>67.27</v>
      </c>
      <c r="E33" s="385">
        <v>63.211100000000002</v>
      </c>
      <c r="F33" s="235">
        <f t="shared" ref="F33:F58" si="0">E33*D33</f>
        <v>4252.2106969999995</v>
      </c>
      <c r="G33" s="269">
        <v>26.04</v>
      </c>
      <c r="H33" s="468"/>
      <c r="I33" s="268">
        <v>26.04</v>
      </c>
      <c r="J33" s="235"/>
      <c r="K33" s="234">
        <f>60.03*26.04</f>
        <v>1563.1812</v>
      </c>
      <c r="L33" s="256"/>
      <c r="M33" s="397">
        <f>SUM(K33:L33)</f>
        <v>1563.1812</v>
      </c>
      <c r="N33" s="252"/>
      <c r="O33" s="253"/>
    </row>
    <row r="34" spans="1:15" s="245" customFormat="1" ht="25.5">
      <c r="A34" s="259" t="s">
        <v>100</v>
      </c>
      <c r="B34" s="229" t="s">
        <v>559</v>
      </c>
      <c r="C34" s="259" t="s">
        <v>60</v>
      </c>
      <c r="D34" s="372">
        <v>43.4</v>
      </c>
      <c r="E34" s="385">
        <v>1.5802</v>
      </c>
      <c r="F34" s="235">
        <f t="shared" si="0"/>
        <v>68.580680000000001</v>
      </c>
      <c r="G34" s="269">
        <v>43.4</v>
      </c>
      <c r="H34" s="468"/>
      <c r="I34" s="268">
        <v>43.4</v>
      </c>
      <c r="J34" s="235"/>
      <c r="K34" s="234">
        <v>54.12</v>
      </c>
      <c r="L34" s="256"/>
      <c r="M34" s="397">
        <f t="shared" ref="M34:M46" si="1">SUM(K34:L34)</f>
        <v>54.12</v>
      </c>
      <c r="N34" s="252"/>
    </row>
    <row r="35" spans="1:15" s="245" customFormat="1" ht="25.5">
      <c r="A35" s="259" t="s">
        <v>103</v>
      </c>
      <c r="B35" s="229" t="s">
        <v>560</v>
      </c>
      <c r="C35" s="259" t="s">
        <v>81</v>
      </c>
      <c r="D35" s="372">
        <v>2.17</v>
      </c>
      <c r="E35" s="385">
        <v>497.23050000000001</v>
      </c>
      <c r="F35" s="235">
        <f t="shared" si="0"/>
        <v>1078.9901849999999</v>
      </c>
      <c r="G35" s="269">
        <v>2.17</v>
      </c>
      <c r="H35" s="468"/>
      <c r="I35" s="268">
        <v>2.17</v>
      </c>
      <c r="J35" s="235"/>
      <c r="K35" s="234">
        <f>E35*G35</f>
        <v>1078.9901849999999</v>
      </c>
      <c r="L35" s="256"/>
      <c r="M35" s="397">
        <f t="shared" si="1"/>
        <v>1078.9901849999999</v>
      </c>
      <c r="N35" s="252"/>
    </row>
    <row r="36" spans="1:15" s="245" customFormat="1" ht="38.25">
      <c r="A36" s="259" t="s">
        <v>561</v>
      </c>
      <c r="B36" s="229" t="s">
        <v>562</v>
      </c>
      <c r="C36" s="259" t="s">
        <v>60</v>
      </c>
      <c r="D36" s="372">
        <v>167.25</v>
      </c>
      <c r="E36" s="385">
        <v>113.52204999999999</v>
      </c>
      <c r="F36" s="235">
        <f t="shared" si="0"/>
        <v>18986.562862499999</v>
      </c>
      <c r="G36" s="269">
        <v>128.49</v>
      </c>
      <c r="H36" s="269"/>
      <c r="I36" s="268">
        <v>128.49</v>
      </c>
      <c r="J36" s="235"/>
      <c r="K36" s="234">
        <f>62.85*89.99+63.56*113.52+236.13</f>
        <v>13107.332699999999</v>
      </c>
      <c r="L36" s="272"/>
      <c r="M36" s="397">
        <f>SUM(K36:L36)</f>
        <v>13107.332699999999</v>
      </c>
      <c r="N36" s="252"/>
      <c r="O36" s="284"/>
    </row>
    <row r="37" spans="1:15" s="245" customFormat="1" ht="25.5">
      <c r="A37" s="259" t="s">
        <v>563</v>
      </c>
      <c r="B37" s="229" t="s">
        <v>564</v>
      </c>
      <c r="C37" s="259" t="s">
        <v>565</v>
      </c>
      <c r="D37" s="372">
        <v>127.6</v>
      </c>
      <c r="E37" s="385">
        <v>20.500599999999999</v>
      </c>
      <c r="F37" s="235">
        <f t="shared" si="0"/>
        <v>2615.8765599999997</v>
      </c>
      <c r="G37" s="269">
        <v>127.6</v>
      </c>
      <c r="H37" s="468"/>
      <c r="I37" s="268">
        <v>127.6</v>
      </c>
      <c r="J37" s="235"/>
      <c r="K37" s="234">
        <v>1415.59</v>
      </c>
      <c r="L37" s="256"/>
      <c r="M37" s="397">
        <f t="shared" si="1"/>
        <v>1415.59</v>
      </c>
      <c r="N37" s="252"/>
    </row>
    <row r="38" spans="1:15" s="245" customFormat="1" ht="25.5">
      <c r="A38" s="259" t="s">
        <v>566</v>
      </c>
      <c r="B38" s="229" t="s">
        <v>567</v>
      </c>
      <c r="C38" s="259" t="s">
        <v>565</v>
      </c>
      <c r="D38" s="372">
        <v>285.8</v>
      </c>
      <c r="E38" s="385">
        <v>20.092130000000001</v>
      </c>
      <c r="F38" s="235">
        <f t="shared" si="0"/>
        <v>5742.3307540000005</v>
      </c>
      <c r="G38" s="269">
        <v>285.8</v>
      </c>
      <c r="H38" s="468"/>
      <c r="I38" s="268">
        <v>285.8</v>
      </c>
      <c r="J38" s="235"/>
      <c r="K38" s="234">
        <v>2780.48</v>
      </c>
      <c r="L38" s="256"/>
      <c r="M38" s="397">
        <f t="shared" si="1"/>
        <v>2780.48</v>
      </c>
      <c r="N38" s="252"/>
    </row>
    <row r="39" spans="1:15" s="245" customFormat="1" ht="25.5">
      <c r="A39" s="259" t="s">
        <v>568</v>
      </c>
      <c r="B39" s="229" t="s">
        <v>569</v>
      </c>
      <c r="C39" s="259" t="s">
        <v>565</v>
      </c>
      <c r="D39" s="372">
        <v>149.30000000000001</v>
      </c>
      <c r="E39" s="385">
        <v>19.393350000000002</v>
      </c>
      <c r="F39" s="235">
        <f t="shared" si="0"/>
        <v>2895.4271550000003</v>
      </c>
      <c r="G39" s="269">
        <v>149.30000000000001</v>
      </c>
      <c r="H39" s="468"/>
      <c r="I39" s="268">
        <v>149.30000000000001</v>
      </c>
      <c r="J39" s="235"/>
      <c r="K39" s="234">
        <v>1415.59</v>
      </c>
      <c r="L39" s="256"/>
      <c r="M39" s="397">
        <f t="shared" si="1"/>
        <v>1415.59</v>
      </c>
      <c r="N39" s="252"/>
    </row>
    <row r="40" spans="1:15" s="245" customFormat="1" ht="25.5">
      <c r="A40" s="259" t="s">
        <v>570</v>
      </c>
      <c r="B40" s="229" t="s">
        <v>571</v>
      </c>
      <c r="C40" s="259" t="s">
        <v>565</v>
      </c>
      <c r="D40" s="372">
        <v>396.5</v>
      </c>
      <c r="E40" s="385">
        <v>17.608830000000001</v>
      </c>
      <c r="F40" s="235">
        <f t="shared" si="0"/>
        <v>6981.9010950000002</v>
      </c>
      <c r="G40" s="269">
        <v>396.5</v>
      </c>
      <c r="H40" s="468"/>
      <c r="I40" s="268">
        <v>396.5</v>
      </c>
      <c r="J40" s="235"/>
      <c r="K40" s="234">
        <v>3081.7</v>
      </c>
      <c r="L40" s="256"/>
      <c r="M40" s="397">
        <f t="shared" si="1"/>
        <v>3081.7</v>
      </c>
      <c r="N40" s="252"/>
    </row>
    <row r="41" spans="1:15" s="245" customFormat="1" ht="25.5">
      <c r="A41" s="259" t="s">
        <v>572</v>
      </c>
      <c r="B41" s="229" t="s">
        <v>573</v>
      </c>
      <c r="C41" s="259" t="s">
        <v>565</v>
      </c>
      <c r="D41" s="372">
        <v>187.4</v>
      </c>
      <c r="E41" s="385">
        <v>15.03955</v>
      </c>
      <c r="F41" s="235">
        <f t="shared" si="0"/>
        <v>2818.41167</v>
      </c>
      <c r="G41" s="269">
        <v>187.4</v>
      </c>
      <c r="H41" s="468"/>
      <c r="I41" s="268">
        <v>187.4</v>
      </c>
      <c r="J41" s="235"/>
      <c r="K41" s="234">
        <v>1307.44</v>
      </c>
      <c r="L41" s="256"/>
      <c r="M41" s="397">
        <f t="shared" si="1"/>
        <v>1307.44</v>
      </c>
      <c r="N41" s="252"/>
    </row>
    <row r="42" spans="1:15" s="245" customFormat="1" ht="25.5">
      <c r="A42" s="259" t="s">
        <v>574</v>
      </c>
      <c r="B42" s="229" t="s">
        <v>575</v>
      </c>
      <c r="C42" s="259" t="s">
        <v>565</v>
      </c>
      <c r="D42" s="372">
        <v>298.3</v>
      </c>
      <c r="E42" s="385">
        <v>14.502000000000001</v>
      </c>
      <c r="F42" s="235">
        <f t="shared" si="0"/>
        <v>4325.9466000000002</v>
      </c>
      <c r="G42" s="269">
        <v>298.3</v>
      </c>
      <c r="H42" s="468"/>
      <c r="I42" s="268">
        <v>298.3</v>
      </c>
      <c r="J42" s="235"/>
      <c r="K42" s="234">
        <v>1943.28</v>
      </c>
      <c r="L42" s="256"/>
      <c r="M42" s="397">
        <f t="shared" si="1"/>
        <v>1943.28</v>
      </c>
      <c r="N42" s="252"/>
    </row>
    <row r="43" spans="1:15" s="245" customFormat="1" ht="25.5">
      <c r="A43" s="259" t="s">
        <v>576</v>
      </c>
      <c r="B43" s="229" t="s">
        <v>577</v>
      </c>
      <c r="C43" s="259" t="s">
        <v>565</v>
      </c>
      <c r="D43" s="372">
        <v>170.9</v>
      </c>
      <c r="E43" s="385">
        <v>16.458549999999999</v>
      </c>
      <c r="F43" s="235">
        <f t="shared" si="0"/>
        <v>2812.7661949999997</v>
      </c>
      <c r="G43" s="269">
        <v>170.9</v>
      </c>
      <c r="H43" s="468"/>
      <c r="I43" s="268">
        <v>170.9</v>
      </c>
      <c r="J43" s="235"/>
      <c r="K43" s="234">
        <v>1028.82</v>
      </c>
      <c r="L43" s="256"/>
      <c r="M43" s="397">
        <f t="shared" si="1"/>
        <v>1028.82</v>
      </c>
      <c r="N43" s="252"/>
    </row>
    <row r="44" spans="1:15" s="245" customFormat="1" ht="25.5">
      <c r="A44" s="259" t="s">
        <v>578</v>
      </c>
      <c r="B44" s="229" t="s">
        <v>579</v>
      </c>
      <c r="C44" s="259" t="s">
        <v>81</v>
      </c>
      <c r="D44" s="372">
        <v>17.05</v>
      </c>
      <c r="E44" s="385">
        <v>396.33850000000001</v>
      </c>
      <c r="F44" s="235">
        <f t="shared" si="0"/>
        <v>6757.5714250000001</v>
      </c>
      <c r="G44" s="269">
        <f>13.51+0.13</f>
        <v>13.64</v>
      </c>
      <c r="H44" s="469"/>
      <c r="I44" s="268">
        <f>G44+H44</f>
        <v>13.64</v>
      </c>
      <c r="J44" s="235"/>
      <c r="K44" s="234">
        <f>10.59*327.95+2.92*396.34+51.52</f>
        <v>4681.8233</v>
      </c>
      <c r="L44" s="272"/>
      <c r="M44" s="397">
        <f t="shared" si="1"/>
        <v>4681.8233</v>
      </c>
      <c r="N44" s="454"/>
      <c r="O44" s="296"/>
    </row>
    <row r="45" spans="1:15" s="245" customFormat="1" ht="25.5">
      <c r="A45" s="259" t="s">
        <v>580</v>
      </c>
      <c r="B45" s="229" t="s">
        <v>581</v>
      </c>
      <c r="C45" s="259" t="s">
        <v>81</v>
      </c>
      <c r="D45" s="372">
        <v>17.05</v>
      </c>
      <c r="E45" s="385">
        <v>153.95349999999999</v>
      </c>
      <c r="F45" s="235">
        <f t="shared" si="0"/>
        <v>2624.9071749999998</v>
      </c>
      <c r="G45" s="269">
        <f>13.51+0.13</f>
        <v>13.64</v>
      </c>
      <c r="H45" s="469"/>
      <c r="I45" s="268">
        <f>G45+H45</f>
        <v>13.64</v>
      </c>
      <c r="J45" s="235"/>
      <c r="K45" s="234">
        <f>10.59*135.19+2.92*153.95+20.01</f>
        <v>1901.2060999999999</v>
      </c>
      <c r="L45" s="272"/>
      <c r="M45" s="397">
        <f>SUM(K45:L45)</f>
        <v>1901.2060999999999</v>
      </c>
      <c r="N45" s="454"/>
      <c r="O45" s="297"/>
    </row>
    <row r="46" spans="1:15" s="245" customFormat="1">
      <c r="A46" s="259" t="s">
        <v>582</v>
      </c>
      <c r="B46" s="229" t="s">
        <v>583</v>
      </c>
      <c r="C46" s="259" t="s">
        <v>81</v>
      </c>
      <c r="D46" s="372">
        <v>50.22</v>
      </c>
      <c r="E46" s="385">
        <v>35.937800000000003</v>
      </c>
      <c r="F46" s="235">
        <f t="shared" si="0"/>
        <v>1804.7963160000002</v>
      </c>
      <c r="G46" s="269">
        <v>15.45</v>
      </c>
      <c r="H46" s="269"/>
      <c r="I46" s="268">
        <v>15.45</v>
      </c>
      <c r="J46" s="235"/>
      <c r="K46" s="234">
        <f>E46*G46</f>
        <v>555.23901000000001</v>
      </c>
      <c r="L46" s="234"/>
      <c r="M46" s="397">
        <f t="shared" si="1"/>
        <v>555.23901000000001</v>
      </c>
      <c r="N46" s="252"/>
    </row>
    <row r="47" spans="1:15" s="245" customFormat="1" ht="8.1" customHeight="1">
      <c r="A47" s="485"/>
      <c r="B47" s="484"/>
      <c r="C47" s="484"/>
      <c r="D47" s="484"/>
      <c r="E47" s="484"/>
      <c r="F47" s="484"/>
      <c r="G47" s="484"/>
      <c r="H47" s="484"/>
      <c r="I47" s="484"/>
      <c r="J47" s="484"/>
      <c r="K47" s="484"/>
      <c r="L47" s="484"/>
      <c r="M47" s="486"/>
      <c r="N47" s="252"/>
    </row>
    <row r="48" spans="1:15" s="312" customFormat="1" ht="18">
      <c r="A48" s="367" t="s">
        <v>106</v>
      </c>
      <c r="B48" s="478" t="s">
        <v>584</v>
      </c>
      <c r="C48" s="479"/>
      <c r="D48" s="479"/>
      <c r="E48" s="480"/>
      <c r="F48" s="301">
        <f>F50</f>
        <v>56360.321394000006</v>
      </c>
      <c r="G48" s="310"/>
      <c r="H48" s="470"/>
      <c r="I48" s="311"/>
      <c r="J48" s="301"/>
      <c r="K48" s="306">
        <f>K50</f>
        <v>49996.586029000006</v>
      </c>
      <c r="L48" s="402"/>
      <c r="M48" s="394">
        <f>M50</f>
        <v>49996.586029000006</v>
      </c>
      <c r="N48" s="281"/>
    </row>
    <row r="49" spans="1:16" s="312" customFormat="1" ht="8.1" customHeight="1">
      <c r="A49" s="540"/>
      <c r="B49" s="541"/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2"/>
      <c r="N49" s="281"/>
    </row>
    <row r="50" spans="1:16" s="245" customFormat="1" ht="25.5">
      <c r="A50" s="259" t="s">
        <v>108</v>
      </c>
      <c r="B50" s="264" t="s">
        <v>585</v>
      </c>
      <c r="C50" s="259" t="s">
        <v>81</v>
      </c>
      <c r="D50" s="372">
        <v>153.66</v>
      </c>
      <c r="E50" s="385">
        <v>366.78590000000003</v>
      </c>
      <c r="F50" s="235">
        <f t="shared" si="0"/>
        <v>56360.321394000006</v>
      </c>
      <c r="G50" s="269">
        <v>136.31</v>
      </c>
      <c r="H50" s="469"/>
      <c r="I50" s="270">
        <f>G50+H50</f>
        <v>136.31</v>
      </c>
      <c r="J50" s="235"/>
      <c r="K50" s="234">
        <f>E50*G50</f>
        <v>49996.586029000006</v>
      </c>
      <c r="L50" s="391"/>
      <c r="M50" s="397">
        <f>K50+L50</f>
        <v>49996.586029000006</v>
      </c>
      <c r="N50" s="252"/>
      <c r="O50" s="285"/>
    </row>
    <row r="51" spans="1:16" s="245" customFormat="1" ht="8.1" customHeight="1">
      <c r="A51" s="485"/>
      <c r="B51" s="484"/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486"/>
      <c r="N51" s="252"/>
      <c r="O51" s="285"/>
    </row>
    <row r="52" spans="1:16" s="307" customFormat="1" ht="18">
      <c r="A52" s="367" t="s">
        <v>586</v>
      </c>
      <c r="B52" s="478" t="s">
        <v>587</v>
      </c>
      <c r="C52" s="479"/>
      <c r="D52" s="479"/>
      <c r="E52" s="480"/>
      <c r="F52" s="301">
        <f>SUM(F54:F58)</f>
        <v>34318.079351200002</v>
      </c>
      <c r="G52" s="308"/>
      <c r="H52" s="471"/>
      <c r="I52" s="309"/>
      <c r="J52" s="301"/>
      <c r="K52" s="306">
        <f>SUM(K54:K58)</f>
        <v>24669.493794100003</v>
      </c>
      <c r="L52" s="402"/>
      <c r="M52" s="394">
        <f>SUM(M54:M58)</f>
        <v>24669.493794100003</v>
      </c>
      <c r="N52" s="281"/>
    </row>
    <row r="53" spans="1:16" s="307" customFormat="1" ht="8.1" customHeight="1">
      <c r="A53" s="540"/>
      <c r="B53" s="541"/>
      <c r="C53" s="541"/>
      <c r="D53" s="541"/>
      <c r="E53" s="541"/>
      <c r="F53" s="541"/>
      <c r="G53" s="541"/>
      <c r="H53" s="541"/>
      <c r="I53" s="541"/>
      <c r="J53" s="541"/>
      <c r="K53" s="541"/>
      <c r="L53" s="541"/>
      <c r="M53" s="542"/>
      <c r="N53" s="281"/>
    </row>
    <row r="54" spans="1:16" s="245" customFormat="1" ht="38.25">
      <c r="A54" s="259" t="s">
        <v>588</v>
      </c>
      <c r="B54" s="229" t="s">
        <v>589</v>
      </c>
      <c r="C54" s="259" t="s">
        <v>60</v>
      </c>
      <c r="D54" s="372">
        <v>233.62</v>
      </c>
      <c r="E54" s="385">
        <v>65.017150000000001</v>
      </c>
      <c r="F54" s="235">
        <f t="shared" si="0"/>
        <v>15189.306583000001</v>
      </c>
      <c r="G54" s="269">
        <v>150.57</v>
      </c>
      <c r="H54" s="469"/>
      <c r="I54" s="270">
        <f>G54+H54</f>
        <v>150.57</v>
      </c>
      <c r="J54" s="235"/>
      <c r="K54" s="234">
        <f>E54*G54</f>
        <v>9789.6322755000001</v>
      </c>
      <c r="L54" s="403"/>
      <c r="M54" s="395">
        <f>K54+L54</f>
        <v>9789.6322755000001</v>
      </c>
      <c r="N54" s="252"/>
      <c r="O54" s="285"/>
    </row>
    <row r="55" spans="1:16" s="245" customFormat="1" ht="51">
      <c r="A55" s="259" t="s">
        <v>590</v>
      </c>
      <c r="B55" s="229" t="s">
        <v>591</v>
      </c>
      <c r="C55" s="259" t="s">
        <v>565</v>
      </c>
      <c r="D55" s="372">
        <v>280.13</v>
      </c>
      <c r="E55" s="385">
        <v>20.49</v>
      </c>
      <c r="F55" s="235">
        <f>E55*D55-0.03</f>
        <v>5739.8337000000001</v>
      </c>
      <c r="G55" s="269">
        <v>231.22</v>
      </c>
      <c r="H55" s="469"/>
      <c r="I55" s="270">
        <f>G55+H55</f>
        <v>231.22</v>
      </c>
      <c r="J55" s="235"/>
      <c r="K55" s="234">
        <f>E55*G55</f>
        <v>4737.6977999999999</v>
      </c>
      <c r="L55" s="404"/>
      <c r="M55" s="396">
        <f>K55+L55</f>
        <v>4737.6977999999999</v>
      </c>
      <c r="N55" s="252"/>
      <c r="O55" s="285"/>
    </row>
    <row r="56" spans="1:16" s="245" customFormat="1" ht="51">
      <c r="A56" s="259" t="s">
        <v>592</v>
      </c>
      <c r="B56" s="229" t="s">
        <v>593</v>
      </c>
      <c r="C56" s="259" t="s">
        <v>565</v>
      </c>
      <c r="D56" s="372">
        <v>374.79</v>
      </c>
      <c r="E56" s="385">
        <v>18.501080000000002</v>
      </c>
      <c r="F56" s="235">
        <f t="shared" si="0"/>
        <v>6934.0197732000006</v>
      </c>
      <c r="G56" s="269">
        <v>312.92</v>
      </c>
      <c r="H56" s="469"/>
      <c r="I56" s="270">
        <f>G56+H56</f>
        <v>312.92</v>
      </c>
      <c r="J56" s="235"/>
      <c r="K56" s="234">
        <f>E56*G56</f>
        <v>5789.3579536000007</v>
      </c>
      <c r="L56" s="391"/>
      <c r="M56" s="397">
        <f>K56+L56</f>
        <v>5789.3579536000007</v>
      </c>
      <c r="N56" s="252"/>
      <c r="O56" s="285"/>
    </row>
    <row r="57" spans="1:16" s="245" customFormat="1" ht="38.25">
      <c r="A57" s="259" t="s">
        <v>594</v>
      </c>
      <c r="B57" s="229" t="s">
        <v>595</v>
      </c>
      <c r="C57" s="259" t="s">
        <v>81</v>
      </c>
      <c r="D57" s="372">
        <v>11.73</v>
      </c>
      <c r="E57" s="385">
        <v>396.33850000000001</v>
      </c>
      <c r="F57" s="235">
        <f t="shared" si="0"/>
        <v>4649.0506050000004</v>
      </c>
      <c r="G57" s="269">
        <v>7.91</v>
      </c>
      <c r="H57" s="469"/>
      <c r="I57" s="270">
        <f>G57+H57</f>
        <v>7.91</v>
      </c>
      <c r="J57" s="235"/>
      <c r="K57" s="234">
        <f>E57*G57</f>
        <v>3135.0375349999999</v>
      </c>
      <c r="L57" s="391"/>
      <c r="M57" s="397">
        <f>K57+L57</f>
        <v>3135.0375349999999</v>
      </c>
      <c r="N57" s="252" t="s">
        <v>918</v>
      </c>
      <c r="O57" s="285"/>
    </row>
    <row r="58" spans="1:16" s="245" customFormat="1" ht="25.5">
      <c r="A58" s="259" t="s">
        <v>596</v>
      </c>
      <c r="B58" s="264" t="s">
        <v>597</v>
      </c>
      <c r="C58" s="259" t="s">
        <v>81</v>
      </c>
      <c r="D58" s="372">
        <v>11.73</v>
      </c>
      <c r="E58" s="385">
        <v>153.953</v>
      </c>
      <c r="F58" s="235">
        <f t="shared" si="0"/>
        <v>1805.86869</v>
      </c>
      <c r="G58" s="269">
        <v>7.91</v>
      </c>
      <c r="H58" s="469"/>
      <c r="I58" s="270">
        <f>G58+H58</f>
        <v>7.91</v>
      </c>
      <c r="J58" s="235"/>
      <c r="K58" s="234">
        <f>E58*G58</f>
        <v>1217.7682300000001</v>
      </c>
      <c r="L58" s="403"/>
      <c r="M58" s="395">
        <f>K58+L58</f>
        <v>1217.7682300000001</v>
      </c>
      <c r="N58" s="252"/>
      <c r="O58" s="285"/>
    </row>
    <row r="59" spans="1:16" s="245" customFormat="1" ht="8.1" customHeight="1">
      <c r="A59" s="484"/>
      <c r="B59" s="484"/>
      <c r="C59" s="484"/>
      <c r="D59" s="484"/>
      <c r="E59" s="484"/>
      <c r="F59" s="484"/>
      <c r="G59" s="484"/>
      <c r="H59" s="484"/>
      <c r="I59" s="484"/>
      <c r="J59" s="484"/>
      <c r="K59" s="484"/>
      <c r="L59" s="484"/>
      <c r="M59" s="484"/>
      <c r="N59" s="252"/>
    </row>
    <row r="60" spans="1:16" s="419" customFormat="1" ht="18">
      <c r="A60" s="407" t="s">
        <v>598</v>
      </c>
      <c r="B60" s="481" t="s">
        <v>113</v>
      </c>
      <c r="C60" s="482"/>
      <c r="D60" s="482"/>
      <c r="E60" s="483"/>
      <c r="F60" s="408">
        <f>SUM(F62,F73,F86,F98)</f>
        <v>165501.89367999998</v>
      </c>
      <c r="G60" s="409"/>
      <c r="H60" s="465"/>
      <c r="I60" s="410"/>
      <c r="J60" s="411"/>
      <c r="K60" s="422">
        <f>K62+K73+K86+K98</f>
        <v>143693.6022081</v>
      </c>
      <c r="L60" s="422">
        <f>L62+L73+L86+L98</f>
        <v>12548.476345000001</v>
      </c>
      <c r="M60" s="423">
        <f>M62+M73+M86+M98</f>
        <v>156242.07855310003</v>
      </c>
      <c r="N60" s="424"/>
      <c r="O60" s="425"/>
    </row>
    <row r="61" spans="1:16" s="419" customFormat="1" ht="8.1" customHeight="1">
      <c r="A61" s="534"/>
      <c r="B61" s="535"/>
      <c r="C61" s="535"/>
      <c r="D61" s="535"/>
      <c r="E61" s="535"/>
      <c r="F61" s="535"/>
      <c r="G61" s="535"/>
      <c r="H61" s="535"/>
      <c r="I61" s="535"/>
      <c r="J61" s="535"/>
      <c r="K61" s="535"/>
      <c r="L61" s="535"/>
      <c r="M61" s="536"/>
      <c r="N61" s="424"/>
      <c r="O61" s="425"/>
    </row>
    <row r="62" spans="1:16" s="312" customFormat="1" ht="19.5" customHeight="1">
      <c r="A62" s="367" t="s">
        <v>114</v>
      </c>
      <c r="B62" s="478" t="s">
        <v>599</v>
      </c>
      <c r="C62" s="479"/>
      <c r="D62" s="479"/>
      <c r="E62" s="480"/>
      <c r="F62" s="301">
        <f>SUM(F64:F71)</f>
        <v>46332.858988</v>
      </c>
      <c r="G62" s="310"/>
      <c r="H62" s="470"/>
      <c r="I62" s="311"/>
      <c r="J62" s="301"/>
      <c r="K62" s="306">
        <f>SUM(K64:K71)</f>
        <v>43596.864731599999</v>
      </c>
      <c r="L62" s="306">
        <f>SUM(L64:L71)</f>
        <v>0</v>
      </c>
      <c r="M62" s="392">
        <f>SUM(M64:M71)</f>
        <v>43596.864731600006</v>
      </c>
      <c r="N62" s="282"/>
      <c r="O62" s="364"/>
    </row>
    <row r="63" spans="1:16" s="312" customFormat="1" ht="8.1" customHeight="1">
      <c r="A63" s="540"/>
      <c r="B63" s="541"/>
      <c r="C63" s="541"/>
      <c r="D63" s="541"/>
      <c r="E63" s="541"/>
      <c r="F63" s="541"/>
      <c r="G63" s="541"/>
      <c r="H63" s="541"/>
      <c r="I63" s="541"/>
      <c r="J63" s="541"/>
      <c r="K63" s="541"/>
      <c r="L63" s="541"/>
      <c r="M63" s="542"/>
      <c r="N63" s="282"/>
      <c r="O63" s="364"/>
    </row>
    <row r="64" spans="1:16" ht="63.75">
      <c r="A64" s="259" t="s">
        <v>116</v>
      </c>
      <c r="B64" s="264" t="s">
        <v>600</v>
      </c>
      <c r="C64" s="259" t="s">
        <v>60</v>
      </c>
      <c r="D64" s="372">
        <v>257.8</v>
      </c>
      <c r="E64" s="385">
        <v>35.034880000000001</v>
      </c>
      <c r="F64" s="235">
        <f t="shared" ref="F64:F103" si="2">E64*D64</f>
        <v>9031.992064</v>
      </c>
      <c r="G64" s="267">
        <v>246.67</v>
      </c>
      <c r="H64" s="469"/>
      <c r="I64" s="267">
        <f>205.8+40.87</f>
        <v>246.67000000000002</v>
      </c>
      <c r="J64" s="235"/>
      <c r="K64" s="234">
        <f>E64*G64</f>
        <v>8642.053849599999</v>
      </c>
      <c r="L64" s="234">
        <f>E64*H64</f>
        <v>0</v>
      </c>
      <c r="M64" s="390">
        <f>E64*I64</f>
        <v>8642.0538496000008</v>
      </c>
      <c r="N64" s="252"/>
      <c r="O64" s="363"/>
      <c r="P64" s="228" t="s">
        <v>909</v>
      </c>
    </row>
    <row r="65" spans="1:15" ht="51">
      <c r="A65" s="259" t="s">
        <v>118</v>
      </c>
      <c r="B65" s="264" t="s">
        <v>601</v>
      </c>
      <c r="C65" s="259" t="s">
        <v>565</v>
      </c>
      <c r="D65" s="372">
        <v>295.43</v>
      </c>
      <c r="E65" s="385">
        <v>20.489850000000001</v>
      </c>
      <c r="F65" s="235">
        <f t="shared" si="2"/>
        <v>6053.3163855000003</v>
      </c>
      <c r="G65" s="267">
        <v>295.43</v>
      </c>
      <c r="H65" s="469"/>
      <c r="I65" s="267">
        <f>257.3+38.13</f>
        <v>295.43</v>
      </c>
      <c r="J65" s="235"/>
      <c r="K65" s="234">
        <f t="shared" ref="K65:K71" si="3">E65*G65</f>
        <v>6053.3163855000003</v>
      </c>
      <c r="L65" s="234">
        <f>E65*H65</f>
        <v>0</v>
      </c>
      <c r="M65" s="390">
        <f t="shared" ref="M65:M71" si="4">E65*I65</f>
        <v>6053.3163855000003</v>
      </c>
      <c r="N65" s="252"/>
      <c r="O65" s="363"/>
    </row>
    <row r="66" spans="1:15" s="245" customFormat="1" ht="51">
      <c r="A66" s="259" t="s">
        <v>602</v>
      </c>
      <c r="B66" s="264" t="s">
        <v>603</v>
      </c>
      <c r="C66" s="259" t="s">
        <v>565</v>
      </c>
      <c r="D66" s="372">
        <v>567.63</v>
      </c>
      <c r="E66" s="385">
        <v>17.565799999999999</v>
      </c>
      <c r="F66" s="235">
        <f t="shared" si="2"/>
        <v>9970.8750540000001</v>
      </c>
      <c r="G66" s="267">
        <v>538.72</v>
      </c>
      <c r="H66" s="469"/>
      <c r="I66" s="267">
        <f>364.95+173.77</f>
        <v>538.72</v>
      </c>
      <c r="J66" s="235"/>
      <c r="K66" s="234">
        <f t="shared" si="3"/>
        <v>9463.0477759999994</v>
      </c>
      <c r="L66" s="234">
        <f>E66*H66</f>
        <v>0</v>
      </c>
      <c r="M66" s="390">
        <f t="shared" si="4"/>
        <v>9463.0477759999994</v>
      </c>
      <c r="N66" s="252"/>
      <c r="O66" s="285"/>
    </row>
    <row r="67" spans="1:15" ht="51">
      <c r="A67" s="259" t="s">
        <v>604</v>
      </c>
      <c r="B67" s="264" t="s">
        <v>605</v>
      </c>
      <c r="C67" s="259" t="s">
        <v>565</v>
      </c>
      <c r="D67" s="372">
        <v>166.32</v>
      </c>
      <c r="E67" s="385">
        <v>14.932</v>
      </c>
      <c r="F67" s="235">
        <f>E67*D67</f>
        <v>2483.4902400000001</v>
      </c>
      <c r="G67" s="267">
        <v>172.44</v>
      </c>
      <c r="H67" s="469"/>
      <c r="I67" s="267">
        <f>166.32+6.12</f>
        <v>172.44</v>
      </c>
      <c r="J67" s="235"/>
      <c r="K67" s="234">
        <f t="shared" si="3"/>
        <v>2574.87408</v>
      </c>
      <c r="L67" s="234">
        <f>E67*H67</f>
        <v>0</v>
      </c>
      <c r="M67" s="390">
        <f t="shared" si="4"/>
        <v>2574.87408</v>
      </c>
      <c r="N67" s="252"/>
      <c r="O67" s="379"/>
    </row>
    <row r="68" spans="1:15" ht="51">
      <c r="A68" s="259" t="s">
        <v>606</v>
      </c>
      <c r="B68" s="264" t="s">
        <v>607</v>
      </c>
      <c r="C68" s="259" t="s">
        <v>565</v>
      </c>
      <c r="D68" s="372">
        <v>415.67</v>
      </c>
      <c r="E68" s="385">
        <v>14.34075</v>
      </c>
      <c r="F68" s="235">
        <f t="shared" si="2"/>
        <v>5961.0195524999999</v>
      </c>
      <c r="G68" s="267">
        <v>415.67</v>
      </c>
      <c r="H68" s="469"/>
      <c r="I68" s="267">
        <v>415.67</v>
      </c>
      <c r="J68" s="235"/>
      <c r="K68" s="234">
        <f t="shared" si="3"/>
        <v>5961.0195524999999</v>
      </c>
      <c r="L68" s="234">
        <f>E68*H68</f>
        <v>0</v>
      </c>
      <c r="M68" s="390">
        <f t="shared" si="4"/>
        <v>5961.0195524999999</v>
      </c>
      <c r="N68" s="252"/>
      <c r="O68" s="380"/>
    </row>
    <row r="69" spans="1:15" s="245" customFormat="1" ht="51">
      <c r="A69" s="259" t="s">
        <v>608</v>
      </c>
      <c r="B69" s="264" t="s">
        <v>609</v>
      </c>
      <c r="C69" s="259" t="s">
        <v>565</v>
      </c>
      <c r="D69" s="372">
        <v>340.99</v>
      </c>
      <c r="E69" s="385">
        <v>15.9748</v>
      </c>
      <c r="F69" s="235">
        <f t="shared" si="2"/>
        <v>5447.2470520000006</v>
      </c>
      <c r="G69" s="274">
        <v>281.86</v>
      </c>
      <c r="H69" s="469"/>
      <c r="I69" s="274">
        <v>281.86</v>
      </c>
      <c r="J69" s="235"/>
      <c r="K69" s="234">
        <f t="shared" si="3"/>
        <v>4502.6571279999998</v>
      </c>
      <c r="L69" s="270"/>
      <c r="M69" s="390">
        <f t="shared" si="4"/>
        <v>4502.6571279999998</v>
      </c>
      <c r="N69" s="252"/>
      <c r="O69" s="295"/>
    </row>
    <row r="70" spans="1:15" s="245" customFormat="1" ht="38.25">
      <c r="A70" s="259" t="s">
        <v>610</v>
      </c>
      <c r="B70" s="264" t="s">
        <v>611</v>
      </c>
      <c r="C70" s="259" t="s">
        <v>81</v>
      </c>
      <c r="D70" s="372">
        <v>13.42</v>
      </c>
      <c r="E70" s="385">
        <v>396.33800000000002</v>
      </c>
      <c r="F70" s="235">
        <f t="shared" si="2"/>
        <v>5318.8559599999999</v>
      </c>
      <c r="G70" s="267">
        <v>11.63</v>
      </c>
      <c r="H70" s="469"/>
      <c r="I70" s="267">
        <f>9.62+2.01</f>
        <v>11.629999999999999</v>
      </c>
      <c r="J70" s="235"/>
      <c r="K70" s="234">
        <f t="shared" si="3"/>
        <v>4609.4109400000007</v>
      </c>
      <c r="L70" s="234">
        <f>E70*H70</f>
        <v>0</v>
      </c>
      <c r="M70" s="390">
        <f t="shared" si="4"/>
        <v>4609.4109399999998</v>
      </c>
      <c r="N70" s="252"/>
      <c r="O70" s="364"/>
    </row>
    <row r="71" spans="1:15" ht="25.5">
      <c r="A71" s="259" t="s">
        <v>612</v>
      </c>
      <c r="B71" s="264" t="s">
        <v>597</v>
      </c>
      <c r="C71" s="259" t="s">
        <v>81</v>
      </c>
      <c r="D71" s="372">
        <v>13.42</v>
      </c>
      <c r="E71" s="385">
        <v>153.95400000000001</v>
      </c>
      <c r="F71" s="235">
        <f t="shared" si="2"/>
        <v>2066.06268</v>
      </c>
      <c r="G71" s="267">
        <v>11.63</v>
      </c>
      <c r="H71" s="469"/>
      <c r="I71" s="267">
        <f>9.62+2.01</f>
        <v>11.629999999999999</v>
      </c>
      <c r="J71" s="235"/>
      <c r="K71" s="234">
        <f t="shared" si="3"/>
        <v>1790.4850200000003</v>
      </c>
      <c r="L71" s="234">
        <f>E71*H71</f>
        <v>0</v>
      </c>
      <c r="M71" s="390">
        <f t="shared" si="4"/>
        <v>1790.4850199999998</v>
      </c>
      <c r="N71" s="252"/>
      <c r="O71" s="363"/>
    </row>
    <row r="72" spans="1:15" ht="8.1" customHeight="1">
      <c r="A72" s="485"/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6"/>
      <c r="N72" s="252"/>
      <c r="O72" s="363"/>
    </row>
    <row r="73" spans="1:15" s="307" customFormat="1" ht="18" customHeight="1">
      <c r="A73" s="367" t="s">
        <v>120</v>
      </c>
      <c r="B73" s="478" t="s">
        <v>919</v>
      </c>
      <c r="C73" s="479"/>
      <c r="D73" s="479"/>
      <c r="E73" s="480"/>
      <c r="F73" s="301">
        <f>SUM(F75:F84)-0.01</f>
        <v>48839.569425499998</v>
      </c>
      <c r="G73" s="303"/>
      <c r="H73" s="472"/>
      <c r="I73" s="303"/>
      <c r="J73" s="304"/>
      <c r="K73" s="306">
        <f>SUM(K75:K84)</f>
        <v>40629.14697300001</v>
      </c>
      <c r="L73" s="393">
        <f>SUM(L75:L84)</f>
        <v>4003.1789480000002</v>
      </c>
      <c r="M73" s="393">
        <f>SUM(M75:M84)</f>
        <v>44632.325921000011</v>
      </c>
      <c r="N73" s="282"/>
      <c r="O73" s="287"/>
    </row>
    <row r="74" spans="1:15" s="307" customFormat="1" ht="8.1" customHeight="1">
      <c r="A74" s="540"/>
      <c r="B74" s="541"/>
      <c r="C74" s="541"/>
      <c r="D74" s="541"/>
      <c r="E74" s="541"/>
      <c r="F74" s="541"/>
      <c r="G74" s="541"/>
      <c r="H74" s="541"/>
      <c r="I74" s="541"/>
      <c r="J74" s="541"/>
      <c r="K74" s="541"/>
      <c r="L74" s="541"/>
      <c r="M74" s="542"/>
      <c r="N74" s="282"/>
      <c r="O74" s="287"/>
    </row>
    <row r="75" spans="1:15" ht="38.25">
      <c r="A75" s="259" t="s">
        <v>122</v>
      </c>
      <c r="B75" s="264" t="s">
        <v>613</v>
      </c>
      <c r="C75" s="259" t="s">
        <v>60</v>
      </c>
      <c r="D75" s="372">
        <v>269.08</v>
      </c>
      <c r="E75" s="385">
        <v>51.439700000000002</v>
      </c>
      <c r="F75" s="235">
        <f t="shared" si="2"/>
        <v>13841.394475999999</v>
      </c>
      <c r="G75" s="267">
        <v>216.4</v>
      </c>
      <c r="H75" s="267">
        <f>'[1]Memoria de Calculo'!$M$28</f>
        <v>23.9</v>
      </c>
      <c r="I75" s="267">
        <f>121.29+95.11+23.9</f>
        <v>240.3</v>
      </c>
      <c r="J75" s="235"/>
      <c r="K75" s="234">
        <f>E75*G75</f>
        <v>11131.551080000001</v>
      </c>
      <c r="L75" s="234">
        <f>E75*H75</f>
        <v>1229.4088300000001</v>
      </c>
      <c r="M75" s="390">
        <f>E75*I75</f>
        <v>12360.959910000001</v>
      </c>
      <c r="N75" s="252"/>
      <c r="O75" s="298"/>
    </row>
    <row r="76" spans="1:15" s="245" customFormat="1" ht="51">
      <c r="A76" s="259" t="s">
        <v>123</v>
      </c>
      <c r="B76" s="264" t="s">
        <v>601</v>
      </c>
      <c r="C76" s="259" t="s">
        <v>565</v>
      </c>
      <c r="D76" s="372">
        <v>285.52</v>
      </c>
      <c r="E76" s="385">
        <v>20.489850000000001</v>
      </c>
      <c r="F76" s="235">
        <f t="shared" si="2"/>
        <v>5850.2619720000002</v>
      </c>
      <c r="G76" s="267">
        <v>233.63</v>
      </c>
      <c r="H76" s="267">
        <f>'[1]Memoria de Calculo'!$M$44</f>
        <v>26.64</v>
      </c>
      <c r="I76" s="267">
        <f>147.54 +86.09+26.64</f>
        <v>260.27</v>
      </c>
      <c r="J76" s="235"/>
      <c r="K76" s="234">
        <f t="shared" ref="K76:K84" si="5">E76*G76</f>
        <v>4787.0436554999997</v>
      </c>
      <c r="L76" s="234">
        <f>E76*H76</f>
        <v>545.849604</v>
      </c>
      <c r="M76" s="390">
        <f t="shared" ref="M76:M84" si="6">E76*I76</f>
        <v>5332.8932594999997</v>
      </c>
      <c r="N76" s="252"/>
      <c r="O76" s="299"/>
    </row>
    <row r="77" spans="1:15" s="245" customFormat="1" ht="51">
      <c r="A77" s="259" t="s">
        <v>614</v>
      </c>
      <c r="B77" s="264" t="s">
        <v>615</v>
      </c>
      <c r="C77" s="259" t="s">
        <v>565</v>
      </c>
      <c r="D77" s="372">
        <v>134.66</v>
      </c>
      <c r="E77" s="385">
        <v>19.3826</v>
      </c>
      <c r="F77" s="235">
        <f t="shared" si="2"/>
        <v>2610.0609159999999</v>
      </c>
      <c r="G77" s="274">
        <v>114.64</v>
      </c>
      <c r="H77" s="267">
        <f>'[1]Memoria de Calculo'!$M$57</f>
        <v>7.36</v>
      </c>
      <c r="I77" s="274">
        <f>77.42+37.22+7.36</f>
        <v>122</v>
      </c>
      <c r="J77" s="235"/>
      <c r="K77" s="234">
        <f t="shared" si="5"/>
        <v>2222.021264</v>
      </c>
      <c r="L77" s="234">
        <f>E77*H77</f>
        <v>142.655936</v>
      </c>
      <c r="M77" s="390">
        <f t="shared" si="6"/>
        <v>2364.6772000000001</v>
      </c>
      <c r="N77" s="252"/>
      <c r="O77" s="295"/>
    </row>
    <row r="78" spans="1:15" s="245" customFormat="1" ht="51">
      <c r="A78" s="259" t="s">
        <v>616</v>
      </c>
      <c r="B78" s="264" t="s">
        <v>617</v>
      </c>
      <c r="C78" s="259" t="s">
        <v>565</v>
      </c>
      <c r="D78" s="372">
        <v>119.37</v>
      </c>
      <c r="E78" s="385">
        <v>20.12435</v>
      </c>
      <c r="F78" s="235">
        <f t="shared" si="2"/>
        <v>2402.2436594999999</v>
      </c>
      <c r="G78" s="267">
        <v>108.37</v>
      </c>
      <c r="H78" s="267"/>
      <c r="I78" s="267">
        <f>66.99+41.38</f>
        <v>108.37</v>
      </c>
      <c r="J78" s="235"/>
      <c r="K78" s="234">
        <f t="shared" si="5"/>
        <v>2180.8758095000003</v>
      </c>
      <c r="L78" s="234">
        <f t="shared" ref="L78" si="7">E78*H78</f>
        <v>0</v>
      </c>
      <c r="M78" s="390">
        <f t="shared" si="6"/>
        <v>2180.8758095000003</v>
      </c>
      <c r="N78" s="252"/>
      <c r="O78" s="299"/>
    </row>
    <row r="79" spans="1:15" ht="51">
      <c r="A79" s="259" t="s">
        <v>618</v>
      </c>
      <c r="B79" s="264" t="s">
        <v>603</v>
      </c>
      <c r="C79" s="259" t="s">
        <v>565</v>
      </c>
      <c r="D79" s="372">
        <v>291.54000000000002</v>
      </c>
      <c r="E79" s="385">
        <v>17.565799999999999</v>
      </c>
      <c r="F79" s="235">
        <f t="shared" si="2"/>
        <v>5121.1333320000003</v>
      </c>
      <c r="G79" s="267">
        <v>239.02</v>
      </c>
      <c r="H79" s="267">
        <f>'[1]Memoria de Calculo'!$M$72</f>
        <v>23.86</v>
      </c>
      <c r="I79" s="267">
        <f>173.22+65.8+23.86</f>
        <v>262.88</v>
      </c>
      <c r="J79" s="235"/>
      <c r="K79" s="234">
        <f t="shared" si="5"/>
        <v>4198.5775160000003</v>
      </c>
      <c r="L79" s="234">
        <f t="shared" ref="L79:L84" si="8">E79*H79</f>
        <v>419.11998799999998</v>
      </c>
      <c r="M79" s="390">
        <f t="shared" si="6"/>
        <v>4617.6975039999998</v>
      </c>
      <c r="N79" s="252"/>
      <c r="O79" s="298"/>
    </row>
    <row r="80" spans="1:15" s="245" customFormat="1" ht="51">
      <c r="A80" s="259" t="s">
        <v>619</v>
      </c>
      <c r="B80" s="264" t="s">
        <v>605</v>
      </c>
      <c r="C80" s="259" t="s">
        <v>565</v>
      </c>
      <c r="D80" s="372">
        <v>185.86</v>
      </c>
      <c r="E80" s="385">
        <v>14.932</v>
      </c>
      <c r="F80" s="235">
        <f t="shared" si="2"/>
        <v>2775.2615200000005</v>
      </c>
      <c r="G80" s="274">
        <v>174.31</v>
      </c>
      <c r="H80" s="267">
        <f>'[1]Memoria de Calculo'!$M$83</f>
        <v>11.55</v>
      </c>
      <c r="I80" s="274">
        <f>76.82+97.49+11.55</f>
        <v>185.86</v>
      </c>
      <c r="J80" s="235"/>
      <c r="K80" s="234">
        <f t="shared" si="5"/>
        <v>2602.7969200000002</v>
      </c>
      <c r="L80" s="234">
        <f t="shared" si="8"/>
        <v>172.46460000000002</v>
      </c>
      <c r="M80" s="390">
        <f t="shared" si="6"/>
        <v>2775.2615200000005</v>
      </c>
      <c r="N80" s="252"/>
      <c r="O80" s="285"/>
    </row>
    <row r="81" spans="1:15" ht="51">
      <c r="A81" s="259" t="s">
        <v>620</v>
      </c>
      <c r="B81" s="264" t="s">
        <v>607</v>
      </c>
      <c r="C81" s="259" t="s">
        <v>565</v>
      </c>
      <c r="D81" s="372">
        <v>153.31</v>
      </c>
      <c r="E81" s="385">
        <v>14.3407</v>
      </c>
      <c r="F81" s="235">
        <f t="shared" si="2"/>
        <v>2198.572717</v>
      </c>
      <c r="G81" s="274">
        <v>98.2</v>
      </c>
      <c r="H81" s="267">
        <f>'[1]Memoria de Calculo'!$M$93</f>
        <v>48.9</v>
      </c>
      <c r="I81" s="274">
        <f>98.2+48.9</f>
        <v>147.1</v>
      </c>
      <c r="J81" s="235"/>
      <c r="K81" s="234">
        <f t="shared" si="5"/>
        <v>1408.25674</v>
      </c>
      <c r="L81" s="234">
        <f t="shared" si="8"/>
        <v>701.26022999999998</v>
      </c>
      <c r="M81" s="390">
        <f t="shared" si="6"/>
        <v>2109.5169700000001</v>
      </c>
      <c r="N81" s="252"/>
      <c r="O81" s="287"/>
    </row>
    <row r="82" spans="1:15" ht="38.25">
      <c r="A82" s="259" t="s">
        <v>621</v>
      </c>
      <c r="B82" s="264" t="s">
        <v>611</v>
      </c>
      <c r="C82" s="259" t="s">
        <v>81</v>
      </c>
      <c r="D82" s="372">
        <v>13.61</v>
      </c>
      <c r="E82" s="385">
        <v>396.33800000000002</v>
      </c>
      <c r="F82" s="235">
        <f t="shared" si="2"/>
        <v>5394.1601799999999</v>
      </c>
      <c r="G82" s="267">
        <v>11.04</v>
      </c>
      <c r="H82" s="267">
        <f>'[1]Memoria de Calculo'!$M$103</f>
        <v>1.44</v>
      </c>
      <c r="I82" s="267">
        <f>5.84+5.2+1.44</f>
        <v>12.479999999999999</v>
      </c>
      <c r="J82" s="235"/>
      <c r="K82" s="234">
        <f t="shared" si="5"/>
        <v>4375.5715199999995</v>
      </c>
      <c r="L82" s="234">
        <f t="shared" si="8"/>
        <v>570.72672</v>
      </c>
      <c r="M82" s="390">
        <f t="shared" si="6"/>
        <v>4946.2982400000001</v>
      </c>
      <c r="N82" s="252"/>
      <c r="O82" s="298"/>
    </row>
    <row r="83" spans="1:15" ht="25.5">
      <c r="A83" s="259" t="s">
        <v>622</v>
      </c>
      <c r="B83" s="264" t="s">
        <v>597</v>
      </c>
      <c r="C83" s="259" t="s">
        <v>81</v>
      </c>
      <c r="D83" s="372">
        <v>13.61</v>
      </c>
      <c r="E83" s="385">
        <v>153.95349999999999</v>
      </c>
      <c r="F83" s="235">
        <f t="shared" si="2"/>
        <v>2095.307135</v>
      </c>
      <c r="G83" s="267">
        <v>11.04</v>
      </c>
      <c r="H83" s="267">
        <f>'[1]Memoria de Calculo'!$M$113</f>
        <v>1.44</v>
      </c>
      <c r="I83" s="267">
        <f>5.84+5.2+1.44</f>
        <v>12.479999999999999</v>
      </c>
      <c r="J83" s="235"/>
      <c r="K83" s="234">
        <f t="shared" si="5"/>
        <v>1699.6466399999997</v>
      </c>
      <c r="L83" s="234">
        <f t="shared" si="8"/>
        <v>221.69303999999997</v>
      </c>
      <c r="M83" s="390">
        <f t="shared" si="6"/>
        <v>1921.3396799999996</v>
      </c>
      <c r="N83" s="252"/>
      <c r="O83" s="298"/>
    </row>
    <row r="84" spans="1:15" ht="25.5">
      <c r="A84" s="259" t="s">
        <v>623</v>
      </c>
      <c r="B84" s="264" t="s">
        <v>624</v>
      </c>
      <c r="C84" s="259" t="s">
        <v>189</v>
      </c>
      <c r="D84" s="372">
        <v>187.22</v>
      </c>
      <c r="E84" s="385">
        <v>34.991900000000001</v>
      </c>
      <c r="F84" s="235">
        <f t="shared" si="2"/>
        <v>6551.1835179999998</v>
      </c>
      <c r="G84" s="247">
        <v>172.12</v>
      </c>
      <c r="H84" s="267"/>
      <c r="I84" s="274">
        <f>168.12+4</f>
        <v>172.12</v>
      </c>
      <c r="J84" s="235"/>
      <c r="K84" s="234">
        <f t="shared" si="5"/>
        <v>6022.8058280000005</v>
      </c>
      <c r="L84" s="234">
        <f t="shared" si="8"/>
        <v>0</v>
      </c>
      <c r="M84" s="390">
        <f t="shared" si="6"/>
        <v>6022.8058280000005</v>
      </c>
      <c r="N84" s="252"/>
      <c r="O84" s="365"/>
    </row>
    <row r="85" spans="1:15" ht="8.1" customHeight="1">
      <c r="A85" s="485"/>
      <c r="B85" s="484"/>
      <c r="C85" s="484"/>
      <c r="D85" s="484"/>
      <c r="E85" s="484"/>
      <c r="F85" s="484"/>
      <c r="G85" s="484"/>
      <c r="H85" s="484"/>
      <c r="I85" s="484"/>
      <c r="J85" s="484"/>
      <c r="K85" s="484"/>
      <c r="L85" s="484"/>
      <c r="M85" s="486"/>
      <c r="N85" s="252"/>
      <c r="O85" s="365"/>
    </row>
    <row r="86" spans="1:15" s="307" customFormat="1" ht="18">
      <c r="A86" s="367" t="s">
        <v>124</v>
      </c>
      <c r="B86" s="478" t="s">
        <v>625</v>
      </c>
      <c r="C86" s="479"/>
      <c r="D86" s="479"/>
      <c r="E86" s="480"/>
      <c r="F86" s="301">
        <f>SUM(F88:F96)</f>
        <v>59505.173466499997</v>
      </c>
      <c r="G86" s="302"/>
      <c r="H86" s="473"/>
      <c r="I86" s="303"/>
      <c r="J86" s="304"/>
      <c r="K86" s="306">
        <f>SUM(K88:K96)</f>
        <v>48643.308703499999</v>
      </c>
      <c r="L86" s="306">
        <f>SUM(L88:L96)</f>
        <v>8545.2973970000003</v>
      </c>
      <c r="M86" s="306">
        <f>SUM(M88:M96)</f>
        <v>57188.606100500001</v>
      </c>
      <c r="N86" s="281"/>
      <c r="O86" s="363"/>
    </row>
    <row r="87" spans="1:15" s="307" customFormat="1" ht="8.1" customHeight="1">
      <c r="A87" s="540"/>
      <c r="B87" s="541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2"/>
      <c r="N87" s="281"/>
      <c r="O87" s="363"/>
    </row>
    <row r="88" spans="1:15" ht="51">
      <c r="A88" s="259" t="s">
        <v>126</v>
      </c>
      <c r="B88" s="264" t="s">
        <v>626</v>
      </c>
      <c r="C88" s="259" t="s">
        <v>60</v>
      </c>
      <c r="D88" s="372">
        <v>113.89</v>
      </c>
      <c r="E88" s="385">
        <v>20.769300000000001</v>
      </c>
      <c r="F88" s="235">
        <f t="shared" si="2"/>
        <v>2365.4155770000002</v>
      </c>
      <c r="G88" s="247">
        <v>80.58</v>
      </c>
      <c r="H88" s="267">
        <f>'[1]Memoria de Calculo'!$M$121</f>
        <v>33.29</v>
      </c>
      <c r="I88" s="274">
        <f>66.38+14.2+33.29</f>
        <v>113.87</v>
      </c>
      <c r="J88" s="235"/>
      <c r="K88" s="234">
        <f>E88*G88</f>
        <v>1673.5901940000001</v>
      </c>
      <c r="L88" s="390">
        <f>E88*H88</f>
        <v>691.40999699999998</v>
      </c>
      <c r="M88" s="390">
        <f>E88*I88</f>
        <v>2365.0001910000001</v>
      </c>
      <c r="N88" s="252"/>
    </row>
    <row r="89" spans="1:15" ht="51">
      <c r="A89" s="259" t="s">
        <v>627</v>
      </c>
      <c r="B89" s="229" t="s">
        <v>628</v>
      </c>
      <c r="C89" s="259" t="s">
        <v>565</v>
      </c>
      <c r="D89" s="372">
        <v>228.07</v>
      </c>
      <c r="E89" s="385">
        <v>18.373999999999999</v>
      </c>
      <c r="F89" s="235">
        <f t="shared" si="2"/>
        <v>4190.55818</v>
      </c>
      <c r="G89" s="247"/>
      <c r="H89" s="267">
        <f>'[1]Memoria de Calculo'!$M$131</f>
        <v>228.07</v>
      </c>
      <c r="I89" s="274">
        <v>228.07</v>
      </c>
      <c r="J89" s="235"/>
      <c r="K89" s="234">
        <f t="shared" ref="K89:K96" si="9">E89*G89</f>
        <v>0</v>
      </c>
      <c r="L89" s="390">
        <f>E89*H89</f>
        <v>4190.55818</v>
      </c>
      <c r="M89" s="390">
        <f>E89*I89</f>
        <v>4190.55818</v>
      </c>
      <c r="N89" s="252"/>
    </row>
    <row r="90" spans="1:15" ht="51">
      <c r="A90" s="259" t="s">
        <v>629</v>
      </c>
      <c r="B90" s="229" t="s">
        <v>630</v>
      </c>
      <c r="C90" s="259" t="s">
        <v>565</v>
      </c>
      <c r="D90" s="372">
        <v>499.55</v>
      </c>
      <c r="E90" s="385">
        <v>16.759550000000001</v>
      </c>
      <c r="F90" s="235">
        <f t="shared" si="2"/>
        <v>8372.2332025000014</v>
      </c>
      <c r="G90" s="247">
        <v>499.55</v>
      </c>
      <c r="H90" s="267"/>
      <c r="I90" s="274">
        <v>499.55</v>
      </c>
      <c r="J90" s="235"/>
      <c r="K90" s="234">
        <f t="shared" si="9"/>
        <v>8372.2332025000014</v>
      </c>
      <c r="L90" s="390"/>
      <c r="M90" s="390">
        <f>E90*I90</f>
        <v>8372.2332025000014</v>
      </c>
      <c r="N90" s="252"/>
      <c r="O90" s="365"/>
    </row>
    <row r="91" spans="1:15" ht="51">
      <c r="A91" s="259" t="s">
        <v>631</v>
      </c>
      <c r="B91" s="229" t="s">
        <v>632</v>
      </c>
      <c r="C91" s="259" t="s">
        <v>565</v>
      </c>
      <c r="D91" s="372">
        <v>159.30000000000001</v>
      </c>
      <c r="E91" s="385">
        <v>14.297750000000001</v>
      </c>
      <c r="F91" s="235">
        <f t="shared" si="2"/>
        <v>2277.6315750000003</v>
      </c>
      <c r="G91" s="247"/>
      <c r="H91" s="267"/>
      <c r="I91" s="236"/>
      <c r="J91" s="235"/>
      <c r="K91" s="234">
        <f t="shared" si="9"/>
        <v>0</v>
      </c>
      <c r="L91" s="390"/>
      <c r="M91" s="390"/>
      <c r="N91" s="252"/>
    </row>
    <row r="92" spans="1:15" ht="38.25">
      <c r="A92" s="259" t="s">
        <v>633</v>
      </c>
      <c r="B92" s="264" t="s">
        <v>611</v>
      </c>
      <c r="C92" s="259" t="s">
        <v>81</v>
      </c>
      <c r="D92" s="372">
        <v>14.8</v>
      </c>
      <c r="E92" s="385">
        <v>396.33800000000002</v>
      </c>
      <c r="F92" s="235">
        <f t="shared" si="2"/>
        <v>5865.8024000000005</v>
      </c>
      <c r="G92" s="247">
        <v>10.45</v>
      </c>
      <c r="H92" s="267">
        <f>'[1]Memoria de Calculo'!$M$137</f>
        <v>4.28</v>
      </c>
      <c r="I92" s="274">
        <f>7.97+2.48+4.28</f>
        <v>14.73</v>
      </c>
      <c r="J92" s="235"/>
      <c r="K92" s="234">
        <f t="shared" si="9"/>
        <v>4141.7321000000002</v>
      </c>
      <c r="L92" s="390">
        <f>E92*H92</f>
        <v>1696.3266400000002</v>
      </c>
      <c r="M92" s="390">
        <f>E92*I92</f>
        <v>5838.0587400000004</v>
      </c>
      <c r="N92" s="252"/>
      <c r="O92" s="365"/>
    </row>
    <row r="93" spans="1:15" ht="25.5">
      <c r="A93" s="259" t="s">
        <v>634</v>
      </c>
      <c r="B93" s="264" t="s">
        <v>597</v>
      </c>
      <c r="C93" s="259" t="s">
        <v>81</v>
      </c>
      <c r="D93" s="372">
        <v>14.8</v>
      </c>
      <c r="E93" s="385">
        <v>153.95349999999999</v>
      </c>
      <c r="F93" s="235">
        <f t="shared" si="2"/>
        <v>2278.5117999999998</v>
      </c>
      <c r="G93" s="247">
        <v>10.45</v>
      </c>
      <c r="H93" s="267">
        <f>'[1]Memoria de Calculo'!$M$143</f>
        <v>4.28</v>
      </c>
      <c r="I93" s="274">
        <f>7.97+2.48+4.28</f>
        <v>14.73</v>
      </c>
      <c r="J93" s="235"/>
      <c r="K93" s="234">
        <f t="shared" si="9"/>
        <v>1608.8140749999998</v>
      </c>
      <c r="L93" s="390">
        <f>E93*H93</f>
        <v>658.92097999999999</v>
      </c>
      <c r="M93" s="390">
        <f>E93*I93</f>
        <v>2267.7350550000001</v>
      </c>
      <c r="N93" s="252"/>
      <c r="O93" s="365"/>
    </row>
    <row r="94" spans="1:15" ht="51">
      <c r="A94" s="259" t="s">
        <v>635</v>
      </c>
      <c r="B94" s="264" t="s">
        <v>636</v>
      </c>
      <c r="C94" s="259" t="s">
        <v>60</v>
      </c>
      <c r="D94" s="372">
        <v>389.88</v>
      </c>
      <c r="E94" s="385">
        <v>78.368899999999996</v>
      </c>
      <c r="F94" s="235">
        <f t="shared" si="2"/>
        <v>30554.466731999997</v>
      </c>
      <c r="G94" s="247">
        <v>389.88</v>
      </c>
      <c r="H94" s="267"/>
      <c r="I94" s="274">
        <f>224.03+121.47+44.38</f>
        <v>389.88</v>
      </c>
      <c r="J94" s="235"/>
      <c r="K94" s="234">
        <f t="shared" si="9"/>
        <v>30554.466731999997</v>
      </c>
      <c r="L94" s="390"/>
      <c r="M94" s="390">
        <f>E94*I94</f>
        <v>30554.466731999997</v>
      </c>
      <c r="N94" s="252"/>
      <c r="O94" s="365"/>
    </row>
    <row r="95" spans="1:15" ht="38.25">
      <c r="A95" s="259" t="s">
        <v>914</v>
      </c>
      <c r="B95" s="229" t="s">
        <v>916</v>
      </c>
      <c r="C95" s="259" t="s">
        <v>565</v>
      </c>
      <c r="D95" s="372">
        <v>93.1</v>
      </c>
      <c r="E95" s="387">
        <v>20.49</v>
      </c>
      <c r="F95" s="235">
        <f t="shared" si="2"/>
        <v>1907.6189999999997</v>
      </c>
      <c r="G95" s="247">
        <v>29.26</v>
      </c>
      <c r="H95" s="267">
        <f>'[1]Memoria de Calculo'!$M$153</f>
        <v>63.84</v>
      </c>
      <c r="I95" s="274">
        <f>29.26+63.84</f>
        <v>93.100000000000009</v>
      </c>
      <c r="J95" s="235"/>
      <c r="K95" s="234">
        <f t="shared" si="9"/>
        <v>599.53739999999993</v>
      </c>
      <c r="L95" s="390">
        <f>E95*H95</f>
        <v>1308.0816</v>
      </c>
      <c r="M95" s="390">
        <f>E95*I95</f>
        <v>1907.6190000000001</v>
      </c>
      <c r="N95" s="252"/>
      <c r="O95" s="365"/>
    </row>
    <row r="96" spans="1:15" ht="38.25">
      <c r="A96" s="259" t="s">
        <v>915</v>
      </c>
      <c r="B96" s="229" t="s">
        <v>917</v>
      </c>
      <c r="C96" s="259" t="s">
        <v>565</v>
      </c>
      <c r="D96" s="372">
        <v>91.51</v>
      </c>
      <c r="E96" s="385">
        <v>18.5</v>
      </c>
      <c r="F96" s="235">
        <f t="shared" si="2"/>
        <v>1692.9350000000002</v>
      </c>
      <c r="G96" s="247">
        <v>91.51</v>
      </c>
      <c r="H96" s="267"/>
      <c r="I96" s="274">
        <v>91.51</v>
      </c>
      <c r="J96" s="235"/>
      <c r="K96" s="234">
        <f t="shared" si="9"/>
        <v>1692.9350000000002</v>
      </c>
      <c r="L96" s="390"/>
      <c r="M96" s="390">
        <f>E96*I96</f>
        <v>1692.9350000000002</v>
      </c>
      <c r="N96" s="252"/>
      <c r="O96" s="365"/>
    </row>
    <row r="97" spans="1:15" ht="8.1" customHeight="1">
      <c r="A97" s="485"/>
      <c r="B97" s="484"/>
      <c r="C97" s="484"/>
      <c r="D97" s="484"/>
      <c r="E97" s="484"/>
      <c r="F97" s="484"/>
      <c r="G97" s="484"/>
      <c r="H97" s="484"/>
      <c r="I97" s="484"/>
      <c r="J97" s="484"/>
      <c r="K97" s="484"/>
      <c r="L97" s="484"/>
      <c r="M97" s="486"/>
      <c r="N97" s="252"/>
      <c r="O97" s="365"/>
    </row>
    <row r="98" spans="1:15" s="307" customFormat="1" ht="18">
      <c r="A98" s="367" t="s">
        <v>637</v>
      </c>
      <c r="B98" s="478" t="s">
        <v>638</v>
      </c>
      <c r="C98" s="479"/>
      <c r="D98" s="479"/>
      <c r="E98" s="480"/>
      <c r="F98" s="301">
        <f>SUM(F100:F105)+0.01</f>
        <v>10824.291799999999</v>
      </c>
      <c r="G98" s="302"/>
      <c r="H98" s="473"/>
      <c r="I98" s="303"/>
      <c r="J98" s="304"/>
      <c r="K98" s="306">
        <f>SUM(K100:K105)</f>
        <v>10824.281799999999</v>
      </c>
      <c r="L98" s="392"/>
      <c r="M98" s="392">
        <f>SUM(M100:M105)</f>
        <v>10824.281799999999</v>
      </c>
      <c r="N98" s="281"/>
      <c r="O98" s="363"/>
    </row>
    <row r="99" spans="1:15" s="307" customFormat="1" ht="8.1" customHeight="1">
      <c r="A99" s="540"/>
      <c r="B99" s="541"/>
      <c r="C99" s="541"/>
      <c r="D99" s="541"/>
      <c r="E99" s="541"/>
      <c r="F99" s="541"/>
      <c r="G99" s="541"/>
      <c r="H99" s="541"/>
      <c r="I99" s="541"/>
      <c r="J99" s="541"/>
      <c r="K99" s="541"/>
      <c r="L99" s="541"/>
      <c r="M99" s="542"/>
      <c r="N99" s="281"/>
      <c r="O99" s="363"/>
    </row>
    <row r="100" spans="1:15" ht="25.5">
      <c r="A100" s="259" t="s">
        <v>639</v>
      </c>
      <c r="B100" s="264" t="s">
        <v>640</v>
      </c>
      <c r="C100" s="259" t="s">
        <v>189</v>
      </c>
      <c r="D100" s="372">
        <v>20.8</v>
      </c>
      <c r="E100" s="385">
        <v>44.204799999999999</v>
      </c>
      <c r="F100" s="235">
        <f t="shared" si="2"/>
        <v>919.45983999999999</v>
      </c>
      <c r="G100" s="247">
        <v>20.8</v>
      </c>
      <c r="H100" s="267"/>
      <c r="I100" s="267">
        <v>20.8</v>
      </c>
      <c r="J100" s="235"/>
      <c r="K100" s="391">
        <f>E100*G100</f>
        <v>919.45983999999999</v>
      </c>
      <c r="L100" s="234">
        <f t="shared" ref="L100:L103" si="10">E100*H100</f>
        <v>0</v>
      </c>
      <c r="M100" s="391">
        <f t="shared" ref="M100:M105" si="11">E100*I100</f>
        <v>919.45983999999999</v>
      </c>
      <c r="N100" s="252"/>
    </row>
    <row r="101" spans="1:15" ht="25.5">
      <c r="A101" s="259" t="s">
        <v>641</v>
      </c>
      <c r="B101" s="264" t="s">
        <v>642</v>
      </c>
      <c r="C101" s="259" t="s">
        <v>189</v>
      </c>
      <c r="D101" s="372">
        <v>47.7</v>
      </c>
      <c r="E101" s="385">
        <v>32.186</v>
      </c>
      <c r="F101" s="235">
        <f t="shared" si="2"/>
        <v>1535.2722000000001</v>
      </c>
      <c r="G101" s="247">
        <v>47.7</v>
      </c>
      <c r="H101" s="267"/>
      <c r="I101" s="267">
        <f>36.5+11.2</f>
        <v>47.7</v>
      </c>
      <c r="J101" s="235"/>
      <c r="K101" s="397">
        <f t="shared" ref="K101:K105" si="12">E101*G101</f>
        <v>1535.2722000000001</v>
      </c>
      <c r="L101" s="234">
        <f t="shared" si="10"/>
        <v>0</v>
      </c>
      <c r="M101" s="397">
        <f t="shared" si="11"/>
        <v>1535.2722000000001</v>
      </c>
      <c r="N101" s="252"/>
      <c r="O101" s="381"/>
    </row>
    <row r="102" spans="1:15" ht="25.5">
      <c r="A102" s="259" t="s">
        <v>643</v>
      </c>
      <c r="B102" s="264" t="s">
        <v>644</v>
      </c>
      <c r="C102" s="259" t="s">
        <v>189</v>
      </c>
      <c r="D102" s="372">
        <v>20.8</v>
      </c>
      <c r="E102" s="385">
        <v>43.3232</v>
      </c>
      <c r="F102" s="235">
        <f t="shared" si="2"/>
        <v>901.12256000000002</v>
      </c>
      <c r="G102" s="247">
        <v>20.8</v>
      </c>
      <c r="H102" s="267"/>
      <c r="I102" s="267">
        <v>20.8</v>
      </c>
      <c r="J102" s="235"/>
      <c r="K102" s="391">
        <f t="shared" si="12"/>
        <v>901.12256000000002</v>
      </c>
      <c r="L102" s="234">
        <f t="shared" si="10"/>
        <v>0</v>
      </c>
      <c r="M102" s="391">
        <f t="shared" si="11"/>
        <v>901.12256000000002</v>
      </c>
      <c r="N102" s="252"/>
    </row>
    <row r="103" spans="1:15" ht="25.5">
      <c r="A103" s="259" t="s">
        <v>645</v>
      </c>
      <c r="B103" s="264" t="s">
        <v>646</v>
      </c>
      <c r="C103" s="259" t="s">
        <v>189</v>
      </c>
      <c r="D103" s="372">
        <v>5.2</v>
      </c>
      <c r="E103" s="385">
        <v>56.944000000000003</v>
      </c>
      <c r="F103" s="235">
        <f t="shared" si="2"/>
        <v>296.10880000000003</v>
      </c>
      <c r="G103" s="247">
        <v>5.2</v>
      </c>
      <c r="H103" s="267"/>
      <c r="I103" s="267">
        <v>5.2</v>
      </c>
      <c r="J103" s="235"/>
      <c r="K103" s="391">
        <f t="shared" si="12"/>
        <v>296.10880000000003</v>
      </c>
      <c r="L103" s="234">
        <f t="shared" si="10"/>
        <v>0</v>
      </c>
      <c r="M103" s="391">
        <f t="shared" si="11"/>
        <v>296.10880000000003</v>
      </c>
      <c r="N103" s="252"/>
    </row>
    <row r="104" spans="1:15" ht="25.5">
      <c r="A104" s="259" t="s">
        <v>910</v>
      </c>
      <c r="B104" s="264" t="s">
        <v>912</v>
      </c>
      <c r="C104" s="259" t="s">
        <v>189</v>
      </c>
      <c r="D104" s="258">
        <v>62.4</v>
      </c>
      <c r="E104" s="388">
        <v>59.824800000000003</v>
      </c>
      <c r="F104" s="386">
        <f>D104*E104</f>
        <v>3733.0675200000001</v>
      </c>
      <c r="G104" s="371">
        <v>62.4</v>
      </c>
      <c r="H104" s="371"/>
      <c r="I104" s="371">
        <v>62.4</v>
      </c>
      <c r="J104" s="229"/>
      <c r="K104" s="405">
        <f t="shared" si="12"/>
        <v>3733.0675200000001</v>
      </c>
      <c r="L104" s="372"/>
      <c r="M104" s="405">
        <f t="shared" si="11"/>
        <v>3733.0675200000001</v>
      </c>
      <c r="N104" s="252"/>
      <c r="O104" s="382"/>
    </row>
    <row r="105" spans="1:15" ht="25.5">
      <c r="A105" s="259" t="s">
        <v>911</v>
      </c>
      <c r="B105" s="264" t="s">
        <v>913</v>
      </c>
      <c r="C105" s="259" t="s">
        <v>189</v>
      </c>
      <c r="D105" s="372">
        <v>62.4</v>
      </c>
      <c r="E105" s="388">
        <v>55.116199999999999</v>
      </c>
      <c r="F105" s="386">
        <f>D105*E105</f>
        <v>3439.2508800000001</v>
      </c>
      <c r="G105" s="247">
        <v>62.4</v>
      </c>
      <c r="H105" s="267"/>
      <c r="I105" s="267">
        <v>62.4</v>
      </c>
      <c r="J105" s="235"/>
      <c r="K105" s="397">
        <f t="shared" si="12"/>
        <v>3439.2508800000001</v>
      </c>
      <c r="L105" s="372"/>
      <c r="M105" s="405">
        <f t="shared" si="11"/>
        <v>3439.2508800000001</v>
      </c>
      <c r="N105" s="252"/>
      <c r="O105" s="382"/>
    </row>
    <row r="106" spans="1:15" ht="8.1" customHeight="1">
      <c r="A106" s="484"/>
      <c r="B106" s="484"/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252"/>
    </row>
    <row r="107" spans="1:15" s="416" customFormat="1" ht="18" customHeight="1">
      <c r="A107" s="407" t="s">
        <v>647</v>
      </c>
      <c r="B107" s="481" t="s">
        <v>648</v>
      </c>
      <c r="C107" s="482"/>
      <c r="D107" s="482"/>
      <c r="E107" s="483"/>
      <c r="F107" s="408">
        <f>SUM(F108)</f>
        <v>49974.774961599993</v>
      </c>
      <c r="G107" s="409"/>
      <c r="H107" s="465"/>
      <c r="I107" s="410"/>
      <c r="J107" s="426"/>
      <c r="K107" s="422">
        <f>K108</f>
        <v>49974.774961599993</v>
      </c>
      <c r="L107" s="422">
        <f>L108</f>
        <v>0</v>
      </c>
      <c r="M107" s="422">
        <f>M108</f>
        <v>49974.774961599993</v>
      </c>
      <c r="N107" s="424"/>
      <c r="O107" s="427"/>
    </row>
    <row r="108" spans="1:15" ht="63.75">
      <c r="A108" s="259" t="s">
        <v>649</v>
      </c>
      <c r="B108" s="229" t="s">
        <v>650</v>
      </c>
      <c r="C108" s="259" t="s">
        <v>60</v>
      </c>
      <c r="D108" s="372">
        <v>1145.29</v>
      </c>
      <c r="E108" s="385">
        <v>43.635039999999996</v>
      </c>
      <c r="F108" s="235">
        <f>E108*D108</f>
        <v>49974.774961599993</v>
      </c>
      <c r="G108" s="247">
        <v>1145.29</v>
      </c>
      <c r="H108" s="267"/>
      <c r="I108" s="274">
        <f>1104.11+41.18</f>
        <v>1145.29</v>
      </c>
      <c r="J108" s="235"/>
      <c r="K108" s="234">
        <f>E108*G108</f>
        <v>49974.774961599993</v>
      </c>
      <c r="L108" s="234">
        <f>E108*H108</f>
        <v>0</v>
      </c>
      <c r="M108" s="234">
        <f>E108*I108</f>
        <v>49974.774961599993</v>
      </c>
      <c r="N108" s="273"/>
      <c r="O108" s="365"/>
    </row>
    <row r="109" spans="1:15" ht="8.1" customHeight="1">
      <c r="A109" s="484"/>
      <c r="B109" s="484"/>
      <c r="C109" s="484"/>
      <c r="D109" s="484"/>
      <c r="E109" s="484"/>
      <c r="F109" s="484"/>
      <c r="G109" s="484"/>
      <c r="H109" s="484"/>
      <c r="I109" s="484"/>
      <c r="J109" s="484"/>
      <c r="K109" s="484"/>
      <c r="L109" s="484"/>
      <c r="M109" s="484"/>
      <c r="N109" s="252"/>
    </row>
    <row r="110" spans="1:15" s="416" customFormat="1" ht="18" customHeight="1">
      <c r="A110" s="407" t="s">
        <v>651</v>
      </c>
      <c r="B110" s="481" t="s">
        <v>144</v>
      </c>
      <c r="C110" s="482"/>
      <c r="D110" s="482"/>
      <c r="E110" s="483"/>
      <c r="F110" s="408">
        <f>SUM(F111,F116,F119)</f>
        <v>70634.573195999998</v>
      </c>
      <c r="G110" s="409"/>
      <c r="H110" s="465"/>
      <c r="I110" s="410"/>
      <c r="J110" s="426"/>
      <c r="K110" s="422">
        <f>K111+K116+K119</f>
        <v>7684.4485125000001</v>
      </c>
      <c r="L110" s="422">
        <f>L111+L116+L119</f>
        <v>44404.737830999999</v>
      </c>
      <c r="M110" s="422">
        <f>M111+M116+M119</f>
        <v>52089.186343499998</v>
      </c>
      <c r="N110" s="424"/>
    </row>
    <row r="111" spans="1:15" s="307" customFormat="1" ht="18.75" customHeight="1">
      <c r="A111" s="367" t="s">
        <v>145</v>
      </c>
      <c r="B111" s="478" t="s">
        <v>652</v>
      </c>
      <c r="C111" s="479"/>
      <c r="D111" s="479"/>
      <c r="E111" s="480"/>
      <c r="F111" s="313">
        <f>SUM(F112:F115)+0.01</f>
        <v>43933.318861</v>
      </c>
      <c r="G111" s="302"/>
      <c r="H111" s="474"/>
      <c r="I111" s="303"/>
      <c r="J111" s="314"/>
      <c r="K111" s="305">
        <f>SUM(K112:K115)</f>
        <v>0</v>
      </c>
      <c r="L111" s="306">
        <f>SUM(L112:L115)</f>
        <v>39131.881641</v>
      </c>
      <c r="M111" s="306">
        <f>SUM(M112:M115)</f>
        <v>39131.881641</v>
      </c>
      <c r="N111" s="281"/>
    </row>
    <row r="112" spans="1:15" ht="25.5">
      <c r="A112" s="259" t="s">
        <v>653</v>
      </c>
      <c r="B112" s="229" t="s">
        <v>654</v>
      </c>
      <c r="C112" s="259" t="s">
        <v>60</v>
      </c>
      <c r="D112" s="372">
        <v>9.24</v>
      </c>
      <c r="E112" s="385">
        <v>365.47399999999999</v>
      </c>
      <c r="F112" s="235">
        <f t="shared" ref="F112:F120" si="13">E112*D112</f>
        <v>3376.9797600000002</v>
      </c>
      <c r="G112" s="247"/>
      <c r="H112" s="267"/>
      <c r="I112" s="236"/>
      <c r="J112" s="235"/>
      <c r="K112" s="234"/>
      <c r="L112" s="234">
        <f>E112*H112</f>
        <v>0</v>
      </c>
      <c r="M112" s="234">
        <f>E112*I112</f>
        <v>0</v>
      </c>
      <c r="N112" s="252"/>
    </row>
    <row r="113" spans="1:16" ht="51.75" customHeight="1">
      <c r="A113" s="259" t="s">
        <v>655</v>
      </c>
      <c r="B113" s="229" t="s">
        <v>656</v>
      </c>
      <c r="C113" s="259" t="s">
        <v>60</v>
      </c>
      <c r="D113" s="372">
        <v>421.38</v>
      </c>
      <c r="E113" s="385">
        <v>19.877099999999999</v>
      </c>
      <c r="F113" s="235">
        <f>E113*D113</f>
        <v>8375.812398</v>
      </c>
      <c r="G113" s="247"/>
      <c r="H113" s="267">
        <f>'[1]Memoria de Calculo'!$M$180</f>
        <v>406.58</v>
      </c>
      <c r="I113" s="274">
        <v>406.58</v>
      </c>
      <c r="J113" s="235"/>
      <c r="K113" s="234"/>
      <c r="L113" s="234">
        <f>E113*H113</f>
        <v>8081.6313179999988</v>
      </c>
      <c r="M113" s="234">
        <f t="shared" ref="M113:M115" si="14">E113*I113</f>
        <v>8081.6313179999988</v>
      </c>
      <c r="N113" s="252"/>
    </row>
    <row r="114" spans="1:16" ht="38.25">
      <c r="A114" s="259" t="s">
        <v>657</v>
      </c>
      <c r="B114" s="264" t="s">
        <v>658</v>
      </c>
      <c r="C114" s="259" t="s">
        <v>60</v>
      </c>
      <c r="D114" s="372">
        <v>421.38</v>
      </c>
      <c r="E114" s="385">
        <v>14.85675</v>
      </c>
      <c r="F114" s="235">
        <f t="shared" si="13"/>
        <v>6260.3373149999998</v>
      </c>
      <c r="G114" s="247"/>
      <c r="H114" s="267">
        <f>'[1]Memoria de Calculo'!$M$203</f>
        <v>406.58</v>
      </c>
      <c r="I114" s="274">
        <v>406.58</v>
      </c>
      <c r="J114" s="235"/>
      <c r="K114" s="234"/>
      <c r="L114" s="234">
        <f>E114*H114</f>
        <v>6040.4574149999999</v>
      </c>
      <c r="M114" s="234">
        <f t="shared" si="14"/>
        <v>6040.4574149999999</v>
      </c>
      <c r="N114" s="252"/>
    </row>
    <row r="115" spans="1:16" ht="51">
      <c r="A115" s="259" t="s">
        <v>659</v>
      </c>
      <c r="B115" s="264" t="s">
        <v>660</v>
      </c>
      <c r="C115" s="259" t="s">
        <v>60</v>
      </c>
      <c r="D115" s="372">
        <v>421.38</v>
      </c>
      <c r="E115" s="385">
        <v>61.512599999999999</v>
      </c>
      <c r="F115" s="235">
        <f t="shared" si="13"/>
        <v>25920.179388</v>
      </c>
      <c r="G115" s="247"/>
      <c r="H115" s="267">
        <f>'[1]Memoria de Calculo'!$M$226</f>
        <v>406.58</v>
      </c>
      <c r="I115" s="274">
        <v>406.58</v>
      </c>
      <c r="J115" s="235"/>
      <c r="K115" s="234"/>
      <c r="L115" s="234">
        <f>E115*H115</f>
        <v>25009.792907999999</v>
      </c>
      <c r="M115" s="234">
        <f t="shared" si="14"/>
        <v>25009.792907999999</v>
      </c>
      <c r="N115" s="252"/>
    </row>
    <row r="116" spans="1:16" s="307" customFormat="1" ht="21" customHeight="1">
      <c r="A116" s="367" t="s">
        <v>147</v>
      </c>
      <c r="B116" s="478" t="s">
        <v>661</v>
      </c>
      <c r="C116" s="479"/>
      <c r="D116" s="479"/>
      <c r="E116" s="480"/>
      <c r="F116" s="301">
        <f>SUM(F117:F118)-0.01</f>
        <v>13518.204165000001</v>
      </c>
      <c r="G116" s="302"/>
      <c r="H116" s="473"/>
      <c r="I116" s="303"/>
      <c r="J116" s="304"/>
      <c r="K116" s="306">
        <f>SUM(K117:K118)</f>
        <v>7684.4485125000001</v>
      </c>
      <c r="L116" s="306">
        <f>SUM(L117:L118)</f>
        <v>5272.8561899999995</v>
      </c>
      <c r="M116" s="306">
        <f>SUM(M117:M118)</f>
        <v>12957.3047025</v>
      </c>
      <c r="N116" s="281"/>
      <c r="O116" s="546"/>
    </row>
    <row r="117" spans="1:16" ht="25.5">
      <c r="A117" s="259" t="s">
        <v>662</v>
      </c>
      <c r="B117" s="229" t="s">
        <v>663</v>
      </c>
      <c r="C117" s="259" t="s">
        <v>189</v>
      </c>
      <c r="D117" s="372">
        <v>148.5</v>
      </c>
      <c r="E117" s="385">
        <v>53.869250000000001</v>
      </c>
      <c r="F117" s="235">
        <f t="shared" si="13"/>
        <v>7999.5836250000002</v>
      </c>
      <c r="G117" s="247">
        <v>142.65</v>
      </c>
      <c r="H117" s="267"/>
      <c r="I117" s="274">
        <v>142.65</v>
      </c>
      <c r="J117" s="235"/>
      <c r="K117" s="234">
        <f>E117*G117</f>
        <v>7684.4485125000001</v>
      </c>
      <c r="L117" s="234">
        <f>E117*H117</f>
        <v>0</v>
      </c>
      <c r="M117" s="234">
        <f>E117*I117</f>
        <v>7684.4485125000001</v>
      </c>
      <c r="N117" s="252"/>
      <c r="O117" s="547"/>
    </row>
    <row r="118" spans="1:16" ht="38.25">
      <c r="A118" s="259" t="s">
        <v>664</v>
      </c>
      <c r="B118" s="264" t="s">
        <v>665</v>
      </c>
      <c r="C118" s="259" t="s">
        <v>189</v>
      </c>
      <c r="D118" s="372">
        <v>83.08</v>
      </c>
      <c r="E118" s="385">
        <v>66.4255</v>
      </c>
      <c r="F118" s="235">
        <f t="shared" si="13"/>
        <v>5518.6305400000001</v>
      </c>
      <c r="G118" s="247"/>
      <c r="H118" s="267">
        <f>'[1]Memoria de Calculo'!$M$245</f>
        <v>79.38</v>
      </c>
      <c r="I118" s="274">
        <v>79.38</v>
      </c>
      <c r="J118" s="235"/>
      <c r="K118" s="234"/>
      <c r="L118" s="234">
        <f>E118*H118</f>
        <v>5272.8561899999995</v>
      </c>
      <c r="M118" s="234">
        <f t="shared" ref="M118:M120" si="15">E118*I118</f>
        <v>5272.8561899999995</v>
      </c>
      <c r="N118" s="252"/>
    </row>
    <row r="119" spans="1:16" s="307" customFormat="1" ht="18.75" customHeight="1">
      <c r="A119" s="367" t="s">
        <v>666</v>
      </c>
      <c r="B119" s="478" t="s">
        <v>667</v>
      </c>
      <c r="C119" s="479"/>
      <c r="D119" s="479"/>
      <c r="E119" s="480"/>
      <c r="F119" s="301">
        <f>F120</f>
        <v>13183.050169999999</v>
      </c>
      <c r="G119" s="302"/>
      <c r="H119" s="473"/>
      <c r="I119" s="303"/>
      <c r="J119" s="304"/>
      <c r="K119" s="305">
        <f>K120</f>
        <v>0</v>
      </c>
      <c r="L119" s="234">
        <f t="shared" ref="L119:L120" si="16">E119*H119</f>
        <v>0</v>
      </c>
      <c r="M119" s="234">
        <f t="shared" si="15"/>
        <v>0</v>
      </c>
      <c r="N119" s="281"/>
    </row>
    <row r="120" spans="1:16" ht="25.5">
      <c r="A120" s="259" t="s">
        <v>668</v>
      </c>
      <c r="B120" s="229" t="s">
        <v>669</v>
      </c>
      <c r="C120" s="259" t="s">
        <v>60</v>
      </c>
      <c r="D120" s="372">
        <v>402.2</v>
      </c>
      <c r="E120" s="385">
        <v>32.777349999999998</v>
      </c>
      <c r="F120" s="235">
        <f t="shared" si="13"/>
        <v>13183.050169999999</v>
      </c>
      <c r="G120" s="247"/>
      <c r="H120" s="267"/>
      <c r="I120" s="236"/>
      <c r="J120" s="235"/>
      <c r="K120" s="234"/>
      <c r="L120" s="234">
        <f t="shared" si="16"/>
        <v>0</v>
      </c>
      <c r="M120" s="234">
        <f t="shared" si="15"/>
        <v>0</v>
      </c>
      <c r="N120" s="252"/>
    </row>
    <row r="121" spans="1:16" ht="8.1" customHeight="1">
      <c r="A121" s="485"/>
      <c r="B121" s="484"/>
      <c r="C121" s="484"/>
      <c r="D121" s="484"/>
      <c r="E121" s="484"/>
      <c r="F121" s="484"/>
      <c r="G121" s="484"/>
      <c r="H121" s="484"/>
      <c r="I121" s="484"/>
      <c r="J121" s="484"/>
      <c r="K121" s="484"/>
      <c r="L121" s="484"/>
      <c r="M121" s="486"/>
      <c r="N121" s="252"/>
    </row>
    <row r="122" spans="1:16" s="433" customFormat="1" ht="18" customHeight="1">
      <c r="A122" s="407" t="s">
        <v>670</v>
      </c>
      <c r="B122" s="481" t="s">
        <v>671</v>
      </c>
      <c r="C122" s="482"/>
      <c r="D122" s="482"/>
      <c r="E122" s="483"/>
      <c r="F122" s="408">
        <f>SUM(F123:F124)</f>
        <v>9207.0696525000003</v>
      </c>
      <c r="G122" s="414"/>
      <c r="H122" s="475"/>
      <c r="I122" s="418"/>
      <c r="J122" s="429"/>
      <c r="K122" s="422">
        <f>SUM(K123:K124)</f>
        <v>2498.11</v>
      </c>
      <c r="L122" s="430">
        <f>SUM(L123:L124)</f>
        <v>0</v>
      </c>
      <c r="M122" s="431">
        <f>SUM(M123:M124)</f>
        <v>2498.11</v>
      </c>
      <c r="N122" s="432"/>
    </row>
    <row r="123" spans="1:16" ht="25.5">
      <c r="A123" s="259" t="s">
        <v>150</v>
      </c>
      <c r="B123" s="264" t="s">
        <v>672</v>
      </c>
      <c r="C123" s="259" t="s">
        <v>60</v>
      </c>
      <c r="D123" s="372">
        <v>401.27</v>
      </c>
      <c r="E123" s="385">
        <v>8.6861499999999996</v>
      </c>
      <c r="F123" s="235">
        <f>E123*D123</f>
        <v>3485.4914104999998</v>
      </c>
      <c r="G123" s="247">
        <v>288.92</v>
      </c>
      <c r="H123" s="469"/>
      <c r="I123" s="274">
        <f>G123+H123</f>
        <v>288.92</v>
      </c>
      <c r="J123" s="235"/>
      <c r="K123" s="234">
        <v>2498.11</v>
      </c>
      <c r="L123" s="272"/>
      <c r="M123" s="234">
        <f>H123+K123</f>
        <v>2498.11</v>
      </c>
      <c r="N123" s="252"/>
      <c r="O123" s="287"/>
      <c r="P123" s="253"/>
    </row>
    <row r="124" spans="1:16" ht="38.25">
      <c r="A124" s="259" t="s">
        <v>154</v>
      </c>
      <c r="B124" s="264" t="s">
        <v>673</v>
      </c>
      <c r="C124" s="259" t="s">
        <v>60</v>
      </c>
      <c r="D124" s="372">
        <v>71.23</v>
      </c>
      <c r="E124" s="385">
        <v>80.325400000000002</v>
      </c>
      <c r="F124" s="235">
        <f>E124*D124</f>
        <v>5721.5782420000005</v>
      </c>
      <c r="G124" s="247"/>
      <c r="H124" s="267"/>
      <c r="I124" s="236"/>
      <c r="J124" s="235"/>
      <c r="K124" s="234"/>
      <c r="L124" s="234"/>
      <c r="M124" s="234"/>
      <c r="N124" s="252"/>
    </row>
    <row r="125" spans="1:16" ht="8.1" customHeight="1">
      <c r="A125" s="484"/>
      <c r="B125" s="484"/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252"/>
    </row>
    <row r="126" spans="1:16" s="416" customFormat="1" ht="18" customHeight="1">
      <c r="A126" s="407" t="s">
        <v>674</v>
      </c>
      <c r="B126" s="481" t="s">
        <v>149</v>
      </c>
      <c r="C126" s="482"/>
      <c r="D126" s="482"/>
      <c r="E126" s="483"/>
      <c r="F126" s="408">
        <f>SUM(F127,F136)</f>
        <v>65125.591279999993</v>
      </c>
      <c r="G126" s="409"/>
      <c r="H126" s="465"/>
      <c r="I126" s="410"/>
      <c r="J126" s="426"/>
      <c r="K126" s="428">
        <f>K127+K136</f>
        <v>0</v>
      </c>
      <c r="L126" s="422">
        <f>L127+L136</f>
        <v>22571.952000000001</v>
      </c>
      <c r="M126" s="422">
        <f>M127+M136</f>
        <v>22571.952000000001</v>
      </c>
      <c r="N126" s="424"/>
    </row>
    <row r="127" spans="1:16" s="307" customFormat="1" ht="18">
      <c r="A127" s="367" t="s">
        <v>164</v>
      </c>
      <c r="B127" s="478" t="s">
        <v>675</v>
      </c>
      <c r="C127" s="479"/>
      <c r="D127" s="479"/>
      <c r="E127" s="480"/>
      <c r="F127" s="313">
        <f>SUM(F128:F135)-0.01</f>
        <v>38429.099119999992</v>
      </c>
      <c r="G127" s="302"/>
      <c r="H127" s="474"/>
      <c r="I127" s="303"/>
      <c r="J127" s="314"/>
      <c r="K127" s="305">
        <f>SUM(K128:K135)</f>
        <v>0</v>
      </c>
      <c r="L127" s="306">
        <f>SUM(L128:L135)</f>
        <v>22571.952000000001</v>
      </c>
      <c r="M127" s="306">
        <f>SUM(M128:M135)</f>
        <v>22571.952000000001</v>
      </c>
      <c r="N127" s="281"/>
    </row>
    <row r="128" spans="1:16" ht="38.25">
      <c r="A128" s="259" t="s">
        <v>676</v>
      </c>
      <c r="B128" s="229" t="s">
        <v>677</v>
      </c>
      <c r="C128" s="259" t="s">
        <v>60</v>
      </c>
      <c r="D128" s="372">
        <v>8.19</v>
      </c>
      <c r="E128" s="385">
        <v>598.07600000000002</v>
      </c>
      <c r="F128" s="235">
        <f t="shared" ref="F128:F138" si="17">E128*D128</f>
        <v>4898.24244</v>
      </c>
      <c r="G128" s="247"/>
      <c r="H128" s="267"/>
      <c r="I128" s="236"/>
      <c r="J128" s="235"/>
      <c r="K128" s="234"/>
      <c r="L128" s="234">
        <f>E128*H128</f>
        <v>0</v>
      </c>
      <c r="M128" s="234">
        <f>E128*I128</f>
        <v>0</v>
      </c>
      <c r="N128" s="252"/>
    </row>
    <row r="129" spans="1:14" ht="25.5">
      <c r="A129" s="259" t="s">
        <v>678</v>
      </c>
      <c r="B129" s="229" t="s">
        <v>679</v>
      </c>
      <c r="C129" s="259" t="s">
        <v>60</v>
      </c>
      <c r="D129" s="372">
        <v>11.34</v>
      </c>
      <c r="E129" s="385">
        <v>504.09800000000001</v>
      </c>
      <c r="F129" s="235">
        <f t="shared" si="17"/>
        <v>5716.4713199999997</v>
      </c>
      <c r="G129" s="247"/>
      <c r="H129" s="267"/>
      <c r="I129" s="236"/>
      <c r="J129" s="235"/>
      <c r="K129" s="234"/>
      <c r="L129" s="234">
        <f t="shared" ref="L129:L130" si="18">E129*H129</f>
        <v>0</v>
      </c>
      <c r="M129" s="234">
        <f t="shared" ref="M129:M138" si="19">E129*I129</f>
        <v>0</v>
      </c>
      <c r="N129" s="252"/>
    </row>
    <row r="130" spans="1:14" ht="25.5">
      <c r="A130" s="259" t="s">
        <v>680</v>
      </c>
      <c r="B130" s="229" t="s">
        <v>681</v>
      </c>
      <c r="C130" s="259" t="s">
        <v>60</v>
      </c>
      <c r="D130" s="372">
        <v>6.12</v>
      </c>
      <c r="E130" s="385">
        <v>426.428</v>
      </c>
      <c r="F130" s="235">
        <f t="shared" si="17"/>
        <v>2609.73936</v>
      </c>
      <c r="G130" s="247"/>
      <c r="H130" s="267"/>
      <c r="I130" s="236"/>
      <c r="J130" s="235"/>
      <c r="K130" s="234"/>
      <c r="L130" s="234">
        <f t="shared" si="18"/>
        <v>0</v>
      </c>
      <c r="M130" s="234">
        <f t="shared" si="19"/>
        <v>0</v>
      </c>
      <c r="N130" s="252"/>
    </row>
    <row r="131" spans="1:14" ht="63.75">
      <c r="A131" s="259" t="s">
        <v>682</v>
      </c>
      <c r="B131" s="229" t="s">
        <v>683</v>
      </c>
      <c r="C131" s="259" t="s">
        <v>152</v>
      </c>
      <c r="D131" s="372">
        <v>4</v>
      </c>
      <c r="E131" s="385">
        <v>762.85599999999999</v>
      </c>
      <c r="F131" s="235">
        <f t="shared" si="17"/>
        <v>3051.424</v>
      </c>
      <c r="G131" s="247"/>
      <c r="H131" s="267">
        <v>4</v>
      </c>
      <c r="I131" s="274">
        <v>4</v>
      </c>
      <c r="J131" s="235"/>
      <c r="K131" s="234"/>
      <c r="L131" s="234">
        <f>E131*H131</f>
        <v>3051.424</v>
      </c>
      <c r="M131" s="234">
        <f t="shared" si="19"/>
        <v>3051.424</v>
      </c>
      <c r="N131" s="252"/>
    </row>
    <row r="132" spans="1:14" ht="63.75">
      <c r="A132" s="259" t="s">
        <v>684</v>
      </c>
      <c r="B132" s="229" t="s">
        <v>685</v>
      </c>
      <c r="C132" s="259" t="s">
        <v>152</v>
      </c>
      <c r="D132" s="372">
        <v>4</v>
      </c>
      <c r="E132" s="385">
        <v>799.38400000000001</v>
      </c>
      <c r="F132" s="235">
        <f t="shared" si="17"/>
        <v>3197.5360000000001</v>
      </c>
      <c r="G132" s="247"/>
      <c r="H132" s="267">
        <v>3</v>
      </c>
      <c r="I132" s="274">
        <v>3</v>
      </c>
      <c r="J132" s="235"/>
      <c r="K132" s="234"/>
      <c r="L132" s="234">
        <f>E132*H132</f>
        <v>2398.152</v>
      </c>
      <c r="M132" s="234">
        <f t="shared" si="19"/>
        <v>2398.152</v>
      </c>
      <c r="N132" s="252"/>
    </row>
    <row r="133" spans="1:14" ht="63.75">
      <c r="A133" s="259" t="s">
        <v>686</v>
      </c>
      <c r="B133" s="229" t="s">
        <v>687</v>
      </c>
      <c r="C133" s="259" t="s">
        <v>152</v>
      </c>
      <c r="D133" s="372">
        <v>18</v>
      </c>
      <c r="E133" s="385">
        <v>849.64200000000005</v>
      </c>
      <c r="F133" s="235">
        <f t="shared" si="17"/>
        <v>15293.556</v>
      </c>
      <c r="G133" s="247"/>
      <c r="H133" s="267">
        <v>18</v>
      </c>
      <c r="I133" s="274">
        <v>18</v>
      </c>
      <c r="J133" s="235"/>
      <c r="K133" s="234"/>
      <c r="L133" s="234">
        <f>E133*H133</f>
        <v>15293.556</v>
      </c>
      <c r="M133" s="234">
        <f t="shared" si="19"/>
        <v>15293.556</v>
      </c>
      <c r="N133" s="252"/>
    </row>
    <row r="134" spans="1:14" ht="25.5">
      <c r="A134" s="259" t="s">
        <v>688</v>
      </c>
      <c r="B134" s="229" t="s">
        <v>920</v>
      </c>
      <c r="C134" s="259" t="s">
        <v>152</v>
      </c>
      <c r="D134" s="372">
        <v>2</v>
      </c>
      <c r="E134" s="385">
        <v>914.41</v>
      </c>
      <c r="F134" s="235">
        <f t="shared" si="17"/>
        <v>1828.82</v>
      </c>
      <c r="G134" s="247"/>
      <c r="H134" s="267">
        <v>2</v>
      </c>
      <c r="I134" s="274">
        <v>2</v>
      </c>
      <c r="J134" s="235"/>
      <c r="K134" s="234"/>
      <c r="L134" s="234">
        <f>E134*H134</f>
        <v>1828.82</v>
      </c>
      <c r="M134" s="234">
        <f t="shared" si="19"/>
        <v>1828.82</v>
      </c>
      <c r="N134" s="252"/>
    </row>
    <row r="135" spans="1:14" ht="38.25">
      <c r="A135" s="259" t="s">
        <v>689</v>
      </c>
      <c r="B135" s="229" t="s">
        <v>921</v>
      </c>
      <c r="C135" s="259" t="s">
        <v>152</v>
      </c>
      <c r="D135" s="372">
        <v>2</v>
      </c>
      <c r="E135" s="385">
        <v>916.66</v>
      </c>
      <c r="F135" s="235">
        <f t="shared" si="17"/>
        <v>1833.32</v>
      </c>
      <c r="G135" s="247"/>
      <c r="H135" s="267"/>
      <c r="I135" s="274"/>
      <c r="J135" s="235"/>
      <c r="K135" s="234"/>
      <c r="L135" s="234">
        <f>E135*H135</f>
        <v>0</v>
      </c>
      <c r="M135" s="234">
        <f t="shared" si="19"/>
        <v>0</v>
      </c>
      <c r="N135" s="252"/>
    </row>
    <row r="136" spans="1:14" s="307" customFormat="1" ht="18">
      <c r="A136" s="367" t="s">
        <v>167</v>
      </c>
      <c r="B136" s="478" t="s">
        <v>690</v>
      </c>
      <c r="C136" s="479"/>
      <c r="D136" s="479"/>
      <c r="E136" s="480"/>
      <c r="F136" s="301">
        <f>SUM(F137:F138)</f>
        <v>26696.492159999998</v>
      </c>
      <c r="G136" s="302"/>
      <c r="H136" s="473"/>
      <c r="I136" s="303"/>
      <c r="J136" s="304"/>
      <c r="K136" s="305">
        <f>SUM(K137:K138)</f>
        <v>0</v>
      </c>
      <c r="L136" s="305">
        <f>SUM(L137:L138)</f>
        <v>0</v>
      </c>
      <c r="M136" s="234">
        <f t="shared" si="19"/>
        <v>0</v>
      </c>
      <c r="N136" s="281"/>
    </row>
    <row r="137" spans="1:14" ht="25.5">
      <c r="A137" s="259" t="s">
        <v>691</v>
      </c>
      <c r="B137" s="229" t="s">
        <v>692</v>
      </c>
      <c r="C137" s="266" t="s">
        <v>60</v>
      </c>
      <c r="D137" s="372">
        <v>52.8</v>
      </c>
      <c r="E137" s="385">
        <v>493.7672</v>
      </c>
      <c r="F137" s="235">
        <f t="shared" si="17"/>
        <v>26070.908159999999</v>
      </c>
      <c r="G137" s="247"/>
      <c r="H137" s="267"/>
      <c r="I137" s="236"/>
      <c r="J137" s="235"/>
      <c r="K137" s="234"/>
      <c r="L137" s="234"/>
      <c r="M137" s="234">
        <f t="shared" si="19"/>
        <v>0</v>
      </c>
      <c r="N137" s="252"/>
    </row>
    <row r="138" spans="1:14" ht="38.25">
      <c r="A138" s="259" t="s">
        <v>693</v>
      </c>
      <c r="B138" s="229" t="s">
        <v>694</v>
      </c>
      <c r="C138" s="266" t="s">
        <v>60</v>
      </c>
      <c r="D138" s="372">
        <v>0.8</v>
      </c>
      <c r="E138" s="385">
        <v>781.98</v>
      </c>
      <c r="F138" s="235">
        <f t="shared" si="17"/>
        <v>625.58400000000006</v>
      </c>
      <c r="G138" s="247"/>
      <c r="H138" s="267"/>
      <c r="I138" s="236"/>
      <c r="J138" s="235"/>
      <c r="K138" s="234"/>
      <c r="L138" s="234"/>
      <c r="M138" s="234">
        <f t="shared" si="19"/>
        <v>0</v>
      </c>
      <c r="N138" s="252"/>
    </row>
    <row r="139" spans="1:14" ht="8.1" customHeight="1">
      <c r="A139" s="484"/>
      <c r="B139" s="484"/>
      <c r="C139" s="484"/>
      <c r="D139" s="484"/>
      <c r="E139" s="484"/>
      <c r="F139" s="484"/>
      <c r="G139" s="484"/>
      <c r="H139" s="484"/>
      <c r="I139" s="484"/>
      <c r="J139" s="484"/>
      <c r="K139" s="484"/>
      <c r="L139" s="484"/>
      <c r="M139" s="484"/>
      <c r="N139" s="252"/>
    </row>
    <row r="140" spans="1:14" s="444" customFormat="1" ht="18">
      <c r="A140" s="407" t="s">
        <v>695</v>
      </c>
      <c r="B140" s="481" t="s">
        <v>218</v>
      </c>
      <c r="C140" s="482"/>
      <c r="D140" s="482"/>
      <c r="E140" s="483"/>
      <c r="F140" s="408">
        <f>SUM(F141:F176)-0.03</f>
        <v>10352.645133</v>
      </c>
      <c r="G140" s="409"/>
      <c r="H140" s="465"/>
      <c r="I140" s="410"/>
      <c r="J140" s="426"/>
      <c r="K140" s="422">
        <f>SUM(K141:K176)</f>
        <v>4455.4341329999997</v>
      </c>
      <c r="L140" s="422">
        <f>SUM(L141:L176)</f>
        <v>0</v>
      </c>
      <c r="M140" s="422">
        <f>SUM(M141:M176)</f>
        <v>4455.4341329999997</v>
      </c>
      <c r="N140" s="443"/>
    </row>
    <row r="141" spans="1:14">
      <c r="A141" s="434" t="s">
        <v>180</v>
      </c>
      <c r="B141" s="435" t="s">
        <v>696</v>
      </c>
      <c r="C141" s="436" t="s">
        <v>152</v>
      </c>
      <c r="D141" s="437">
        <v>1</v>
      </c>
      <c r="E141" s="438">
        <v>2978.07</v>
      </c>
      <c r="F141" s="439">
        <f t="shared" ref="F141:F176" si="20">E141*D141</f>
        <v>2978.07</v>
      </c>
      <c r="G141" s="440"/>
      <c r="H141" s="476"/>
      <c r="I141" s="441"/>
      <c r="J141" s="439"/>
      <c r="K141" s="442"/>
      <c r="L141" s="442">
        <f>E141*H141</f>
        <v>0</v>
      </c>
      <c r="M141" s="442">
        <f>E141*I141</f>
        <v>0</v>
      </c>
      <c r="N141" s="252"/>
    </row>
    <row r="142" spans="1:14" ht="51">
      <c r="A142" s="259" t="s">
        <v>183</v>
      </c>
      <c r="B142" s="229" t="s">
        <v>697</v>
      </c>
      <c r="C142" s="266" t="s">
        <v>152</v>
      </c>
      <c r="D142" s="372">
        <v>2</v>
      </c>
      <c r="E142" s="385">
        <v>42.216000000000001</v>
      </c>
      <c r="F142" s="235">
        <f t="shared" si="20"/>
        <v>84.432000000000002</v>
      </c>
      <c r="G142" s="247"/>
      <c r="H142" s="267"/>
      <c r="I142" s="236"/>
      <c r="J142" s="235"/>
      <c r="K142" s="234"/>
      <c r="L142" s="234">
        <f t="shared" ref="L142:L176" si="21">E142*H142</f>
        <v>0</v>
      </c>
      <c r="M142" s="234">
        <f t="shared" ref="M142:M176" si="22">E142*I142</f>
        <v>0</v>
      </c>
      <c r="N142" s="252"/>
    </row>
    <row r="143" spans="1:14" ht="51">
      <c r="A143" s="259" t="s">
        <v>185</v>
      </c>
      <c r="B143" s="229" t="s">
        <v>698</v>
      </c>
      <c r="C143" s="266" t="s">
        <v>152</v>
      </c>
      <c r="D143" s="372">
        <v>1</v>
      </c>
      <c r="E143" s="385">
        <v>20.14</v>
      </c>
      <c r="F143" s="235">
        <f t="shared" si="20"/>
        <v>20.14</v>
      </c>
      <c r="G143" s="247"/>
      <c r="H143" s="267"/>
      <c r="I143" s="236"/>
      <c r="J143" s="235"/>
      <c r="K143" s="234"/>
      <c r="L143" s="234">
        <f t="shared" si="21"/>
        <v>0</v>
      </c>
      <c r="M143" s="234">
        <f t="shared" si="22"/>
        <v>0</v>
      </c>
      <c r="N143" s="252"/>
    </row>
    <row r="144" spans="1:14" ht="63.75">
      <c r="A144" s="259" t="s">
        <v>187</v>
      </c>
      <c r="B144" s="229" t="s">
        <v>699</v>
      </c>
      <c r="C144" s="266" t="s">
        <v>152</v>
      </c>
      <c r="D144" s="372">
        <v>3</v>
      </c>
      <c r="E144" s="385">
        <v>4.8499999999999996</v>
      </c>
      <c r="F144" s="235">
        <f t="shared" si="20"/>
        <v>14.549999999999999</v>
      </c>
      <c r="G144" s="247"/>
      <c r="H144" s="267"/>
      <c r="I144" s="236"/>
      <c r="J144" s="235"/>
      <c r="K144" s="234"/>
      <c r="L144" s="234">
        <f t="shared" si="21"/>
        <v>0</v>
      </c>
      <c r="M144" s="234">
        <f t="shared" si="22"/>
        <v>0</v>
      </c>
      <c r="N144" s="252"/>
    </row>
    <row r="145" spans="1:14" ht="25.5">
      <c r="A145" s="259" t="s">
        <v>191</v>
      </c>
      <c r="B145" s="229" t="s">
        <v>700</v>
      </c>
      <c r="C145" s="266" t="s">
        <v>152</v>
      </c>
      <c r="D145" s="372">
        <v>1</v>
      </c>
      <c r="E145" s="385">
        <v>35.74</v>
      </c>
      <c r="F145" s="235">
        <f t="shared" si="20"/>
        <v>35.74</v>
      </c>
      <c r="G145" s="247">
        <v>1</v>
      </c>
      <c r="H145" s="267"/>
      <c r="I145" s="274">
        <v>1</v>
      </c>
      <c r="J145" s="235"/>
      <c r="K145" s="390">
        <f>E145*G145</f>
        <v>35.74</v>
      </c>
      <c r="L145" s="390"/>
      <c r="M145" s="390">
        <f t="shared" si="22"/>
        <v>35.74</v>
      </c>
      <c r="N145" s="252"/>
    </row>
    <row r="146" spans="1:14" ht="38.25">
      <c r="A146" s="259" t="s">
        <v>701</v>
      </c>
      <c r="B146" s="229" t="s">
        <v>702</v>
      </c>
      <c r="C146" s="266" t="s">
        <v>152</v>
      </c>
      <c r="D146" s="372">
        <v>28</v>
      </c>
      <c r="E146" s="385">
        <v>6.633</v>
      </c>
      <c r="F146" s="235">
        <f t="shared" si="20"/>
        <v>185.72399999999999</v>
      </c>
      <c r="G146" s="247">
        <v>28</v>
      </c>
      <c r="H146" s="267"/>
      <c r="I146" s="274">
        <v>28</v>
      </c>
      <c r="J146" s="235"/>
      <c r="K146" s="390">
        <f>E146*G146</f>
        <v>185.72399999999999</v>
      </c>
      <c r="L146" s="390"/>
      <c r="M146" s="390">
        <f t="shared" si="22"/>
        <v>185.72399999999999</v>
      </c>
      <c r="N146" s="383"/>
    </row>
    <row r="147" spans="1:14" ht="38.25">
      <c r="A147" s="259" t="s">
        <v>703</v>
      </c>
      <c r="B147" s="229" t="s">
        <v>704</v>
      </c>
      <c r="C147" s="266" t="s">
        <v>152</v>
      </c>
      <c r="D147" s="372">
        <v>26</v>
      </c>
      <c r="E147" s="385">
        <v>13.6205</v>
      </c>
      <c r="F147" s="235">
        <f t="shared" si="20"/>
        <v>354.13299999999998</v>
      </c>
      <c r="G147" s="247">
        <v>26</v>
      </c>
      <c r="H147" s="267"/>
      <c r="I147" s="274">
        <v>26</v>
      </c>
      <c r="J147" s="235"/>
      <c r="K147" s="390">
        <f>E147*G147</f>
        <v>354.13299999999998</v>
      </c>
      <c r="L147" s="390"/>
      <c r="M147" s="390">
        <f t="shared" si="22"/>
        <v>354.13299999999998</v>
      </c>
      <c r="N147" s="383"/>
    </row>
    <row r="148" spans="1:14" ht="38.25">
      <c r="A148" s="259" t="s">
        <v>705</v>
      </c>
      <c r="B148" s="229" t="s">
        <v>706</v>
      </c>
      <c r="C148" s="266" t="s">
        <v>152</v>
      </c>
      <c r="D148" s="372">
        <v>1</v>
      </c>
      <c r="E148" s="385">
        <v>15.09</v>
      </c>
      <c r="F148" s="235">
        <f t="shared" si="20"/>
        <v>15.09</v>
      </c>
      <c r="G148" s="247">
        <v>1</v>
      </c>
      <c r="H148" s="267"/>
      <c r="I148" s="274">
        <v>1</v>
      </c>
      <c r="J148" s="235"/>
      <c r="K148" s="390">
        <f t="shared" ref="K148:K150" si="23">E148*G148</f>
        <v>15.09</v>
      </c>
      <c r="L148" s="390"/>
      <c r="M148" s="390">
        <f t="shared" si="22"/>
        <v>15.09</v>
      </c>
      <c r="N148" s="252"/>
    </row>
    <row r="149" spans="1:14" ht="38.25">
      <c r="A149" s="259" t="s">
        <v>707</v>
      </c>
      <c r="B149" s="229" t="s">
        <v>708</v>
      </c>
      <c r="C149" s="266" t="s">
        <v>152</v>
      </c>
      <c r="D149" s="372">
        <v>1</v>
      </c>
      <c r="E149" s="385">
        <v>9.7200000000000006</v>
      </c>
      <c r="F149" s="235">
        <f t="shared" si="20"/>
        <v>9.7200000000000006</v>
      </c>
      <c r="G149" s="247">
        <v>1</v>
      </c>
      <c r="H149" s="267"/>
      <c r="I149" s="274">
        <v>1</v>
      </c>
      <c r="J149" s="235"/>
      <c r="K149" s="390">
        <f t="shared" si="23"/>
        <v>9.7200000000000006</v>
      </c>
      <c r="L149" s="390"/>
      <c r="M149" s="390">
        <f t="shared" si="22"/>
        <v>9.7200000000000006</v>
      </c>
      <c r="N149" s="252"/>
    </row>
    <row r="150" spans="1:14" ht="25.5">
      <c r="A150" s="259" t="s">
        <v>709</v>
      </c>
      <c r="B150" s="229" t="s">
        <v>710</v>
      </c>
      <c r="C150" s="266" t="s">
        <v>152</v>
      </c>
      <c r="D150" s="372">
        <v>6</v>
      </c>
      <c r="E150" s="385">
        <v>1.1719999999999999</v>
      </c>
      <c r="F150" s="235">
        <f t="shared" si="20"/>
        <v>7.032</v>
      </c>
      <c r="G150" s="247">
        <v>6</v>
      </c>
      <c r="H150" s="267"/>
      <c r="I150" s="274">
        <v>6</v>
      </c>
      <c r="J150" s="235"/>
      <c r="K150" s="390">
        <f t="shared" si="23"/>
        <v>7.032</v>
      </c>
      <c r="L150" s="390"/>
      <c r="M150" s="390">
        <f t="shared" si="22"/>
        <v>7.032</v>
      </c>
      <c r="N150" s="252"/>
    </row>
    <row r="151" spans="1:14" ht="38.25">
      <c r="A151" s="259" t="s">
        <v>711</v>
      </c>
      <c r="B151" s="229" t="s">
        <v>712</v>
      </c>
      <c r="C151" s="266" t="s">
        <v>152</v>
      </c>
      <c r="D151" s="372">
        <v>15</v>
      </c>
      <c r="E151" s="385">
        <v>15.147500000000001</v>
      </c>
      <c r="F151" s="235">
        <f t="shared" si="20"/>
        <v>227.21250000000001</v>
      </c>
      <c r="G151" s="247">
        <v>15</v>
      </c>
      <c r="H151" s="267"/>
      <c r="I151" s="274">
        <v>15</v>
      </c>
      <c r="J151" s="235"/>
      <c r="K151" s="390">
        <f>E151*G151</f>
        <v>227.21250000000001</v>
      </c>
      <c r="L151" s="390"/>
      <c r="M151" s="390">
        <f t="shared" si="22"/>
        <v>227.21250000000001</v>
      </c>
      <c r="N151" s="383"/>
    </row>
    <row r="152" spans="1:14" ht="51">
      <c r="A152" s="259" t="s">
        <v>713</v>
      </c>
      <c r="B152" s="229" t="s">
        <v>714</v>
      </c>
      <c r="C152" s="266" t="s">
        <v>152</v>
      </c>
      <c r="D152" s="372">
        <v>1</v>
      </c>
      <c r="E152" s="385">
        <v>27.18</v>
      </c>
      <c r="F152" s="235">
        <f t="shared" si="20"/>
        <v>27.18</v>
      </c>
      <c r="G152" s="247"/>
      <c r="H152" s="267"/>
      <c r="I152" s="274"/>
      <c r="J152" s="235"/>
      <c r="K152" s="234"/>
      <c r="L152" s="390"/>
      <c r="M152" s="390"/>
      <c r="N152" s="252"/>
    </row>
    <row r="153" spans="1:14" ht="25.5">
      <c r="A153" s="259" t="s">
        <v>715</v>
      </c>
      <c r="B153" s="229" t="s">
        <v>716</v>
      </c>
      <c r="C153" s="266" t="s">
        <v>152</v>
      </c>
      <c r="D153" s="372">
        <v>6</v>
      </c>
      <c r="E153" s="385">
        <v>8.4939999999999998</v>
      </c>
      <c r="F153" s="235">
        <f t="shared" si="20"/>
        <v>50.963999999999999</v>
      </c>
      <c r="G153" s="247">
        <v>6</v>
      </c>
      <c r="H153" s="267"/>
      <c r="I153" s="274">
        <v>6</v>
      </c>
      <c r="J153" s="235"/>
      <c r="K153" s="390">
        <f>E153*G153</f>
        <v>50.963999999999999</v>
      </c>
      <c r="L153" s="390"/>
      <c r="M153" s="390">
        <f t="shared" si="22"/>
        <v>50.963999999999999</v>
      </c>
      <c r="N153" s="252"/>
    </row>
    <row r="154" spans="1:14" ht="38.25">
      <c r="A154" s="259" t="s">
        <v>717</v>
      </c>
      <c r="B154" s="229" t="s">
        <v>708</v>
      </c>
      <c r="C154" s="266" t="s">
        <v>152</v>
      </c>
      <c r="D154" s="372">
        <v>2</v>
      </c>
      <c r="E154" s="385">
        <v>9.7200000000000006</v>
      </c>
      <c r="F154" s="235">
        <f t="shared" si="20"/>
        <v>19.440000000000001</v>
      </c>
      <c r="G154" s="247">
        <v>2</v>
      </c>
      <c r="H154" s="267"/>
      <c r="I154" s="274">
        <v>2</v>
      </c>
      <c r="J154" s="235"/>
      <c r="K154" s="390">
        <f t="shared" ref="K154:K157" si="24">E154*G154</f>
        <v>19.440000000000001</v>
      </c>
      <c r="L154" s="390"/>
      <c r="M154" s="390">
        <f t="shared" si="22"/>
        <v>19.440000000000001</v>
      </c>
      <c r="N154" s="252"/>
    </row>
    <row r="155" spans="1:14" ht="25.5">
      <c r="A155" s="259" t="s">
        <v>718</v>
      </c>
      <c r="B155" s="229" t="s">
        <v>719</v>
      </c>
      <c r="C155" s="266" t="s">
        <v>152</v>
      </c>
      <c r="D155" s="372">
        <v>2</v>
      </c>
      <c r="E155" s="385">
        <v>4.18</v>
      </c>
      <c r="F155" s="235">
        <f t="shared" si="20"/>
        <v>8.36</v>
      </c>
      <c r="G155" s="247">
        <v>2</v>
      </c>
      <c r="H155" s="267"/>
      <c r="I155" s="274">
        <v>2</v>
      </c>
      <c r="J155" s="235"/>
      <c r="K155" s="390">
        <f t="shared" si="24"/>
        <v>8.36</v>
      </c>
      <c r="L155" s="390"/>
      <c r="M155" s="390">
        <f t="shared" si="22"/>
        <v>8.36</v>
      </c>
      <c r="N155" s="252"/>
    </row>
    <row r="156" spans="1:14" ht="25.5">
      <c r="A156" s="259" t="s">
        <v>720</v>
      </c>
      <c r="B156" s="229" t="s">
        <v>721</v>
      </c>
      <c r="C156" s="266" t="s">
        <v>152</v>
      </c>
      <c r="D156" s="372">
        <v>2</v>
      </c>
      <c r="E156" s="385">
        <v>5.4059999999999997</v>
      </c>
      <c r="F156" s="235">
        <f t="shared" si="20"/>
        <v>10.811999999999999</v>
      </c>
      <c r="G156" s="247">
        <v>2</v>
      </c>
      <c r="H156" s="267"/>
      <c r="I156" s="274">
        <v>2</v>
      </c>
      <c r="J156" s="235"/>
      <c r="K156" s="390">
        <f t="shared" si="24"/>
        <v>10.811999999999999</v>
      </c>
      <c r="L156" s="390"/>
      <c r="M156" s="390">
        <f t="shared" si="22"/>
        <v>10.811999999999999</v>
      </c>
      <c r="N156" s="252"/>
    </row>
    <row r="157" spans="1:14" ht="25.5">
      <c r="A157" s="259" t="s">
        <v>722</v>
      </c>
      <c r="B157" s="229" t="s">
        <v>723</v>
      </c>
      <c r="C157" s="266" t="s">
        <v>152</v>
      </c>
      <c r="D157" s="372">
        <v>1</v>
      </c>
      <c r="E157" s="385">
        <v>2.54</v>
      </c>
      <c r="F157" s="235">
        <f t="shared" si="20"/>
        <v>2.54</v>
      </c>
      <c r="G157" s="247">
        <v>1</v>
      </c>
      <c r="H157" s="267"/>
      <c r="I157" s="274">
        <v>1</v>
      </c>
      <c r="J157" s="235"/>
      <c r="K157" s="390">
        <f t="shared" si="24"/>
        <v>2.54</v>
      </c>
      <c r="L157" s="390"/>
      <c r="M157" s="390">
        <f t="shared" si="22"/>
        <v>2.54</v>
      </c>
      <c r="N157" s="252"/>
    </row>
    <row r="158" spans="1:14" ht="38.25">
      <c r="A158" s="259" t="s">
        <v>724</v>
      </c>
      <c r="B158" s="229" t="s">
        <v>725</v>
      </c>
      <c r="C158" s="266" t="s">
        <v>152</v>
      </c>
      <c r="D158" s="372">
        <v>6</v>
      </c>
      <c r="E158" s="385">
        <v>12.782</v>
      </c>
      <c r="F158" s="235">
        <f t="shared" si="20"/>
        <v>76.692000000000007</v>
      </c>
      <c r="G158" s="247">
        <v>6</v>
      </c>
      <c r="H158" s="267"/>
      <c r="I158" s="274">
        <v>6</v>
      </c>
      <c r="J158" s="235"/>
      <c r="K158" s="390">
        <f>E158*G158</f>
        <v>76.692000000000007</v>
      </c>
      <c r="L158" s="390"/>
      <c r="M158" s="390">
        <f t="shared" si="22"/>
        <v>76.692000000000007</v>
      </c>
      <c r="N158" s="383"/>
    </row>
    <row r="159" spans="1:14" ht="38.25">
      <c r="A159" s="259" t="s">
        <v>726</v>
      </c>
      <c r="B159" s="229" t="s">
        <v>727</v>
      </c>
      <c r="C159" s="266" t="s">
        <v>152</v>
      </c>
      <c r="D159" s="372">
        <v>5</v>
      </c>
      <c r="E159" s="385">
        <v>10.922000000000001</v>
      </c>
      <c r="F159" s="235">
        <f t="shared" si="20"/>
        <v>54.61</v>
      </c>
      <c r="G159" s="247">
        <v>5</v>
      </c>
      <c r="H159" s="267"/>
      <c r="I159" s="274">
        <v>5</v>
      </c>
      <c r="J159" s="235"/>
      <c r="K159" s="390">
        <f>E159*G159</f>
        <v>54.61</v>
      </c>
      <c r="L159" s="390"/>
      <c r="M159" s="390">
        <f t="shared" si="22"/>
        <v>54.61</v>
      </c>
      <c r="N159" s="383"/>
    </row>
    <row r="160" spans="1:14" ht="25.5">
      <c r="A160" s="259" t="s">
        <v>728</v>
      </c>
      <c r="B160" s="229" t="s">
        <v>729</v>
      </c>
      <c r="C160" s="266" t="s">
        <v>152</v>
      </c>
      <c r="D160" s="372">
        <v>5</v>
      </c>
      <c r="E160" s="385">
        <v>12.287000000000001</v>
      </c>
      <c r="F160" s="235">
        <f t="shared" si="20"/>
        <v>61.435000000000002</v>
      </c>
      <c r="G160" s="247">
        <v>5</v>
      </c>
      <c r="H160" s="267"/>
      <c r="I160" s="274">
        <v>5</v>
      </c>
      <c r="J160" s="235"/>
      <c r="K160" s="390">
        <f>E160*G160</f>
        <v>61.435000000000002</v>
      </c>
      <c r="L160" s="390"/>
      <c r="M160" s="390">
        <f t="shared" si="22"/>
        <v>61.435000000000002</v>
      </c>
      <c r="N160" s="383"/>
    </row>
    <row r="161" spans="1:14" ht="38.25">
      <c r="A161" s="259" t="s">
        <v>730</v>
      </c>
      <c r="B161" s="229" t="s">
        <v>731</v>
      </c>
      <c r="C161" s="266" t="s">
        <v>152</v>
      </c>
      <c r="D161" s="372">
        <v>8</v>
      </c>
      <c r="E161" s="385">
        <v>9.3529999999999998</v>
      </c>
      <c r="F161" s="235">
        <f t="shared" si="20"/>
        <v>74.823999999999998</v>
      </c>
      <c r="G161" s="247">
        <v>8</v>
      </c>
      <c r="H161" s="267"/>
      <c r="I161" s="274">
        <v>8</v>
      </c>
      <c r="J161" s="235"/>
      <c r="K161" s="390">
        <f>E161*G161</f>
        <v>74.823999999999998</v>
      </c>
      <c r="L161" s="390"/>
      <c r="M161" s="390">
        <f t="shared" si="22"/>
        <v>74.823999999999998</v>
      </c>
      <c r="N161" s="383"/>
    </row>
    <row r="162" spans="1:14" ht="38.25">
      <c r="A162" s="259" t="s">
        <v>732</v>
      </c>
      <c r="B162" s="229" t="s">
        <v>733</v>
      </c>
      <c r="C162" s="266" t="s">
        <v>152</v>
      </c>
      <c r="D162" s="372">
        <v>3</v>
      </c>
      <c r="E162" s="385">
        <v>14.75</v>
      </c>
      <c r="F162" s="235">
        <f t="shared" si="20"/>
        <v>44.25</v>
      </c>
      <c r="G162" s="247">
        <v>3</v>
      </c>
      <c r="H162" s="267"/>
      <c r="I162" s="274">
        <v>3</v>
      </c>
      <c r="J162" s="235"/>
      <c r="K162" s="390">
        <f>E162*G162</f>
        <v>44.25</v>
      </c>
      <c r="L162" s="390"/>
      <c r="M162" s="390">
        <f t="shared" si="22"/>
        <v>44.25</v>
      </c>
      <c r="N162" s="383"/>
    </row>
    <row r="163" spans="1:14" ht="38.25">
      <c r="A163" s="259" t="s">
        <v>734</v>
      </c>
      <c r="B163" s="229" t="s">
        <v>735</v>
      </c>
      <c r="C163" s="266" t="s">
        <v>152</v>
      </c>
      <c r="D163" s="372">
        <v>3</v>
      </c>
      <c r="E163" s="385">
        <v>23.532</v>
      </c>
      <c r="F163" s="235">
        <f t="shared" si="20"/>
        <v>70.596000000000004</v>
      </c>
      <c r="G163" s="247"/>
      <c r="H163" s="267"/>
      <c r="I163" s="274"/>
      <c r="J163" s="235"/>
      <c r="K163" s="390"/>
      <c r="L163" s="390"/>
      <c r="M163" s="390">
        <f t="shared" si="22"/>
        <v>0</v>
      </c>
      <c r="N163" s="383"/>
    </row>
    <row r="164" spans="1:14" ht="38.25">
      <c r="A164" s="259" t="s">
        <v>736</v>
      </c>
      <c r="B164" s="229" t="s">
        <v>737</v>
      </c>
      <c r="C164" s="266" t="s">
        <v>152</v>
      </c>
      <c r="D164" s="372">
        <v>3</v>
      </c>
      <c r="E164" s="385">
        <v>17.350000000000001</v>
      </c>
      <c r="F164" s="235">
        <f t="shared" si="20"/>
        <v>52.050000000000004</v>
      </c>
      <c r="G164" s="247">
        <v>3</v>
      </c>
      <c r="H164" s="267"/>
      <c r="I164" s="274">
        <v>3</v>
      </c>
      <c r="J164" s="235"/>
      <c r="K164" s="390">
        <f t="shared" ref="K164:K171" si="25">E164*G164</f>
        <v>52.050000000000004</v>
      </c>
      <c r="L164" s="390"/>
      <c r="M164" s="390">
        <f t="shared" si="22"/>
        <v>52.050000000000004</v>
      </c>
      <c r="N164" s="383"/>
    </row>
    <row r="165" spans="1:14" ht="38.25">
      <c r="A165" s="259" t="s">
        <v>738</v>
      </c>
      <c r="B165" s="229" t="s">
        <v>739</v>
      </c>
      <c r="C165" s="266" t="s">
        <v>152</v>
      </c>
      <c r="D165" s="372">
        <v>5</v>
      </c>
      <c r="E165" s="385">
        <v>19.242000000000001</v>
      </c>
      <c r="F165" s="235">
        <f t="shared" si="20"/>
        <v>96.210000000000008</v>
      </c>
      <c r="G165" s="247">
        <v>5</v>
      </c>
      <c r="H165" s="267"/>
      <c r="I165" s="274">
        <v>5</v>
      </c>
      <c r="J165" s="235"/>
      <c r="K165" s="390">
        <f t="shared" si="25"/>
        <v>96.210000000000008</v>
      </c>
      <c r="L165" s="390"/>
      <c r="M165" s="390">
        <f t="shared" si="22"/>
        <v>96.210000000000008</v>
      </c>
      <c r="N165" s="383"/>
    </row>
    <row r="166" spans="1:14" ht="38.25">
      <c r="A166" s="259" t="s">
        <v>740</v>
      </c>
      <c r="B166" s="229" t="s">
        <v>741</v>
      </c>
      <c r="C166" s="266" t="s">
        <v>189</v>
      </c>
      <c r="D166" s="372">
        <v>68.069999999999993</v>
      </c>
      <c r="E166" s="385">
        <v>17.286300000000001</v>
      </c>
      <c r="F166" s="235">
        <f t="shared" si="20"/>
        <v>1176.678441</v>
      </c>
      <c r="G166" s="247">
        <v>68.069999999999993</v>
      </c>
      <c r="H166" s="267"/>
      <c r="I166" s="274">
        <v>68.069999999999993</v>
      </c>
      <c r="J166" s="235"/>
      <c r="K166" s="390">
        <f t="shared" si="25"/>
        <v>1176.678441</v>
      </c>
      <c r="L166" s="390"/>
      <c r="M166" s="390">
        <f t="shared" si="22"/>
        <v>1176.678441</v>
      </c>
      <c r="N166" s="383"/>
    </row>
    <row r="167" spans="1:14" ht="38.25">
      <c r="A167" s="259" t="s">
        <v>742</v>
      </c>
      <c r="B167" s="229" t="s">
        <v>743</v>
      </c>
      <c r="C167" s="266" t="s">
        <v>152</v>
      </c>
      <c r="D167" s="372">
        <v>1</v>
      </c>
      <c r="E167" s="385">
        <v>30.84</v>
      </c>
      <c r="F167" s="235">
        <f t="shared" si="20"/>
        <v>30.84</v>
      </c>
      <c r="G167" s="247">
        <v>1</v>
      </c>
      <c r="H167" s="267"/>
      <c r="I167" s="274">
        <v>1</v>
      </c>
      <c r="J167" s="235"/>
      <c r="K167" s="390">
        <f t="shared" si="25"/>
        <v>30.84</v>
      </c>
      <c r="L167" s="390"/>
      <c r="M167" s="390">
        <f t="shared" si="22"/>
        <v>30.84</v>
      </c>
      <c r="N167" s="252"/>
    </row>
    <row r="168" spans="1:14" ht="38.25">
      <c r="A168" s="259" t="s">
        <v>744</v>
      </c>
      <c r="B168" s="229" t="s">
        <v>745</v>
      </c>
      <c r="C168" s="266" t="s">
        <v>189</v>
      </c>
      <c r="D168" s="372">
        <v>19.43</v>
      </c>
      <c r="E168" s="385">
        <v>25.994</v>
      </c>
      <c r="F168" s="235">
        <f t="shared" si="20"/>
        <v>505.06342000000001</v>
      </c>
      <c r="G168" s="247">
        <v>19.43</v>
      </c>
      <c r="H168" s="267"/>
      <c r="I168" s="274">
        <v>19.43</v>
      </c>
      <c r="J168" s="235"/>
      <c r="K168" s="390">
        <f t="shared" si="25"/>
        <v>505.06342000000001</v>
      </c>
      <c r="L168" s="390"/>
      <c r="M168" s="390">
        <f t="shared" si="22"/>
        <v>505.06342000000001</v>
      </c>
      <c r="N168" s="252"/>
    </row>
    <row r="169" spans="1:14" ht="25.5">
      <c r="A169" s="259" t="s">
        <v>746</v>
      </c>
      <c r="B169" s="229" t="s">
        <v>747</v>
      </c>
      <c r="C169" s="266" t="s">
        <v>152</v>
      </c>
      <c r="D169" s="372">
        <v>5</v>
      </c>
      <c r="E169" s="385">
        <v>32.54</v>
      </c>
      <c r="F169" s="235">
        <f t="shared" si="20"/>
        <v>162.69999999999999</v>
      </c>
      <c r="G169" s="247">
        <v>5</v>
      </c>
      <c r="H169" s="267"/>
      <c r="I169" s="274">
        <v>5</v>
      </c>
      <c r="J169" s="235"/>
      <c r="K169" s="390">
        <f t="shared" si="25"/>
        <v>162.69999999999999</v>
      </c>
      <c r="L169" s="390"/>
      <c r="M169" s="390">
        <f t="shared" si="22"/>
        <v>162.69999999999999</v>
      </c>
      <c r="N169" s="252"/>
    </row>
    <row r="170" spans="1:14" ht="25.5">
      <c r="A170" s="259" t="s">
        <v>748</v>
      </c>
      <c r="B170" s="229" t="s">
        <v>749</v>
      </c>
      <c r="C170" s="266" t="s">
        <v>189</v>
      </c>
      <c r="D170" s="372">
        <v>6.31</v>
      </c>
      <c r="E170" s="385">
        <v>17.48</v>
      </c>
      <c r="F170" s="235">
        <f t="shared" si="20"/>
        <v>110.2988</v>
      </c>
      <c r="G170" s="247">
        <v>6.31</v>
      </c>
      <c r="H170" s="267"/>
      <c r="I170" s="274">
        <v>6.31</v>
      </c>
      <c r="J170" s="235"/>
      <c r="K170" s="390">
        <f t="shared" si="25"/>
        <v>110.2988</v>
      </c>
      <c r="L170" s="390"/>
      <c r="M170" s="390">
        <f t="shared" si="22"/>
        <v>110.2988</v>
      </c>
      <c r="N170" s="252"/>
    </row>
    <row r="171" spans="1:14" ht="25.5">
      <c r="A171" s="259" t="s">
        <v>750</v>
      </c>
      <c r="B171" s="229" t="s">
        <v>751</v>
      </c>
      <c r="C171" s="266" t="s">
        <v>189</v>
      </c>
      <c r="D171" s="372">
        <v>53.96</v>
      </c>
      <c r="E171" s="385">
        <v>20.070699999999999</v>
      </c>
      <c r="F171" s="235">
        <f t="shared" si="20"/>
        <v>1083.0149719999999</v>
      </c>
      <c r="G171" s="247">
        <v>53.96</v>
      </c>
      <c r="H171" s="267"/>
      <c r="I171" s="274">
        <f>50+3.96</f>
        <v>53.96</v>
      </c>
      <c r="J171" s="235"/>
      <c r="K171" s="390">
        <f t="shared" si="25"/>
        <v>1083.0149719999999</v>
      </c>
      <c r="L171" s="390"/>
      <c r="M171" s="390">
        <f t="shared" si="22"/>
        <v>1083.0149719999999</v>
      </c>
      <c r="N171" s="252"/>
    </row>
    <row r="172" spans="1:14" ht="25.5">
      <c r="A172" s="259" t="s">
        <v>752</v>
      </c>
      <c r="B172" s="229" t="s">
        <v>753</v>
      </c>
      <c r="C172" s="266" t="s">
        <v>152</v>
      </c>
      <c r="D172" s="372">
        <v>3</v>
      </c>
      <c r="E172" s="385">
        <v>93.7</v>
      </c>
      <c r="F172" s="235">
        <f t="shared" si="20"/>
        <v>281.10000000000002</v>
      </c>
      <c r="G172" s="247"/>
      <c r="H172" s="267"/>
      <c r="I172" s="236"/>
      <c r="J172" s="235"/>
      <c r="K172" s="234"/>
      <c r="L172" s="390"/>
      <c r="M172" s="390"/>
      <c r="N172" s="252"/>
    </row>
    <row r="173" spans="1:14" ht="25.5">
      <c r="A173" s="259" t="s">
        <v>754</v>
      </c>
      <c r="B173" s="229" t="s">
        <v>755</v>
      </c>
      <c r="C173" s="266" t="s">
        <v>152</v>
      </c>
      <c r="D173" s="372">
        <v>3</v>
      </c>
      <c r="E173" s="385">
        <v>33.380000000000003</v>
      </c>
      <c r="F173" s="235">
        <f t="shared" si="20"/>
        <v>100.14000000000001</v>
      </c>
      <c r="G173" s="247"/>
      <c r="H173" s="267"/>
      <c r="I173" s="236"/>
      <c r="J173" s="235"/>
      <c r="K173" s="234"/>
      <c r="L173" s="234">
        <f t="shared" si="21"/>
        <v>0</v>
      </c>
      <c r="M173" s="234">
        <f t="shared" si="22"/>
        <v>0</v>
      </c>
      <c r="N173" s="252"/>
    </row>
    <row r="174" spans="1:14" ht="38.25">
      <c r="A174" s="259" t="s">
        <v>756</v>
      </c>
      <c r="B174" s="229" t="s">
        <v>757</v>
      </c>
      <c r="C174" s="266" t="s">
        <v>152</v>
      </c>
      <c r="D174" s="372">
        <v>13</v>
      </c>
      <c r="E174" s="385">
        <v>97.59</v>
      </c>
      <c r="F174" s="235">
        <f t="shared" si="20"/>
        <v>1268.67</v>
      </c>
      <c r="G174" s="247"/>
      <c r="H174" s="267"/>
      <c r="I174" s="236"/>
      <c r="J174" s="235"/>
      <c r="K174" s="234"/>
      <c r="L174" s="234">
        <f t="shared" si="21"/>
        <v>0</v>
      </c>
      <c r="M174" s="234">
        <f t="shared" si="22"/>
        <v>0</v>
      </c>
      <c r="N174" s="252"/>
    </row>
    <row r="175" spans="1:14" ht="63.75">
      <c r="A175" s="259" t="s">
        <v>758</v>
      </c>
      <c r="B175" s="229" t="s">
        <v>759</v>
      </c>
      <c r="C175" s="266" t="s">
        <v>152</v>
      </c>
      <c r="D175" s="372">
        <v>7</v>
      </c>
      <c r="E175" s="385">
        <v>119.113</v>
      </c>
      <c r="F175" s="235">
        <f t="shared" si="20"/>
        <v>833.79099999999994</v>
      </c>
      <c r="G175" s="247"/>
      <c r="H175" s="267"/>
      <c r="I175" s="236"/>
      <c r="J175" s="235"/>
      <c r="K175" s="234"/>
      <c r="L175" s="234">
        <f t="shared" si="21"/>
        <v>0</v>
      </c>
      <c r="M175" s="234">
        <f t="shared" si="22"/>
        <v>0</v>
      </c>
      <c r="N175" s="252"/>
    </row>
    <row r="176" spans="1:14" ht="63.75">
      <c r="A176" s="259" t="s">
        <v>760</v>
      </c>
      <c r="B176" s="229" t="s">
        <v>761</v>
      </c>
      <c r="C176" s="266" t="s">
        <v>152</v>
      </c>
      <c r="D176" s="372">
        <v>2</v>
      </c>
      <c r="E176" s="385">
        <v>109.286</v>
      </c>
      <c r="F176" s="235">
        <f t="shared" si="20"/>
        <v>218.572</v>
      </c>
      <c r="G176" s="247"/>
      <c r="H176" s="267"/>
      <c r="I176" s="236"/>
      <c r="J176" s="235"/>
      <c r="K176" s="234"/>
      <c r="L176" s="234">
        <f t="shared" si="21"/>
        <v>0</v>
      </c>
      <c r="M176" s="234">
        <f t="shared" si="22"/>
        <v>0</v>
      </c>
      <c r="N176" s="252"/>
    </row>
    <row r="177" spans="1:14" ht="8.1" customHeight="1">
      <c r="A177" s="484"/>
      <c r="B177" s="484"/>
      <c r="C177" s="484"/>
      <c r="D177" s="484"/>
      <c r="E177" s="484"/>
      <c r="F177" s="484"/>
      <c r="G177" s="484"/>
      <c r="H177" s="484"/>
      <c r="I177" s="484"/>
      <c r="J177" s="484"/>
      <c r="K177" s="484"/>
      <c r="L177" s="484"/>
      <c r="M177" s="484"/>
      <c r="N177" s="252"/>
    </row>
    <row r="178" spans="1:14" s="416" customFormat="1" ht="18" customHeight="1">
      <c r="A178" s="407" t="s">
        <v>762</v>
      </c>
      <c r="B178" s="481" t="s">
        <v>763</v>
      </c>
      <c r="C178" s="482"/>
      <c r="D178" s="482"/>
      <c r="E178" s="483"/>
      <c r="F178" s="408">
        <f>SUM(F179,F194,F200,F210)-0.01</f>
        <v>34724.556513999996</v>
      </c>
      <c r="G178" s="409"/>
      <c r="H178" s="465"/>
      <c r="I178" s="410"/>
      <c r="J178" s="426"/>
      <c r="K178" s="422">
        <f>K179+K194+L200+L210</f>
        <v>13157.365524000001</v>
      </c>
      <c r="L178" s="422">
        <f>L179+L194+L200+L210</f>
        <v>0</v>
      </c>
      <c r="M178" s="422">
        <f>M179+M194+M200+M210</f>
        <v>13157.365524000001</v>
      </c>
      <c r="N178" s="445"/>
    </row>
    <row r="179" spans="1:14" s="307" customFormat="1" ht="18" customHeight="1">
      <c r="A179" s="367" t="s">
        <v>195</v>
      </c>
      <c r="B179" s="478" t="s">
        <v>764</v>
      </c>
      <c r="C179" s="479"/>
      <c r="D179" s="479"/>
      <c r="E179" s="480"/>
      <c r="F179" s="313">
        <f>SUM(F180:F193)-0.01</f>
        <v>10189.055524000001</v>
      </c>
      <c r="G179" s="302"/>
      <c r="H179" s="474"/>
      <c r="I179" s="303"/>
      <c r="J179" s="314"/>
      <c r="K179" s="306">
        <f>SUM(K180:K193)</f>
        <v>10189.065524000001</v>
      </c>
      <c r="L179" s="306">
        <f>SUM(L180:L193)</f>
        <v>0</v>
      </c>
      <c r="M179" s="306">
        <f>SUM(M180:M193)</f>
        <v>10189.065524000001</v>
      </c>
      <c r="N179" s="378"/>
    </row>
    <row r="180" spans="1:14" ht="38.25">
      <c r="A180" s="259" t="s">
        <v>765</v>
      </c>
      <c r="B180" s="229" t="s">
        <v>766</v>
      </c>
      <c r="C180" s="259" t="s">
        <v>152</v>
      </c>
      <c r="D180" s="372">
        <v>36</v>
      </c>
      <c r="E180" s="385">
        <v>9.718</v>
      </c>
      <c r="F180" s="235">
        <f t="shared" ref="F180:F213" si="26">E180*D180</f>
        <v>349.84800000000001</v>
      </c>
      <c r="G180" s="247">
        <v>36</v>
      </c>
      <c r="H180" s="267"/>
      <c r="I180" s="267">
        <v>36</v>
      </c>
      <c r="J180" s="235"/>
      <c r="K180" s="234">
        <f>E180*G180</f>
        <v>349.84800000000001</v>
      </c>
      <c r="L180" s="234">
        <f>E180*H180</f>
        <v>0</v>
      </c>
      <c r="M180" s="234">
        <f>E180*I180</f>
        <v>349.84800000000001</v>
      </c>
      <c r="N180" s="252"/>
    </row>
    <row r="181" spans="1:14" ht="25.5">
      <c r="A181" s="259" t="s">
        <v>767</v>
      </c>
      <c r="B181" s="229" t="s">
        <v>768</v>
      </c>
      <c r="C181" s="259" t="s">
        <v>152</v>
      </c>
      <c r="D181" s="372">
        <v>36</v>
      </c>
      <c r="E181" s="385">
        <v>12.2445</v>
      </c>
      <c r="F181" s="235">
        <f t="shared" si="26"/>
        <v>440.80200000000002</v>
      </c>
      <c r="G181" s="247">
        <v>36</v>
      </c>
      <c r="H181" s="267"/>
      <c r="I181" s="267">
        <v>36</v>
      </c>
      <c r="J181" s="235"/>
      <c r="K181" s="234">
        <f t="shared" ref="K181:K191" si="27">E181*G181</f>
        <v>440.80200000000002</v>
      </c>
      <c r="L181" s="234">
        <f t="shared" ref="L181:L193" si="28">E181*H181</f>
        <v>0</v>
      </c>
      <c r="M181" s="234">
        <f t="shared" ref="M181:M193" si="29">E181*I181</f>
        <v>440.80200000000002</v>
      </c>
      <c r="N181" s="252"/>
    </row>
    <row r="182" spans="1:14" ht="38.25">
      <c r="A182" s="259" t="s">
        <v>769</v>
      </c>
      <c r="B182" s="229" t="s">
        <v>770</v>
      </c>
      <c r="C182" s="259" t="s">
        <v>152</v>
      </c>
      <c r="D182" s="372">
        <v>13</v>
      </c>
      <c r="E182" s="385">
        <v>5.7729999999999997</v>
      </c>
      <c r="F182" s="235">
        <f t="shared" si="26"/>
        <v>75.048999999999992</v>
      </c>
      <c r="G182" s="247">
        <v>13</v>
      </c>
      <c r="H182" s="267"/>
      <c r="I182" s="267">
        <v>13</v>
      </c>
      <c r="J182" s="235"/>
      <c r="K182" s="234">
        <f t="shared" si="27"/>
        <v>75.048999999999992</v>
      </c>
      <c r="L182" s="234">
        <f t="shared" si="28"/>
        <v>0</v>
      </c>
      <c r="M182" s="234">
        <f t="shared" si="29"/>
        <v>75.048999999999992</v>
      </c>
      <c r="N182" s="252"/>
    </row>
    <row r="183" spans="1:14" ht="38.25">
      <c r="A183" s="259" t="s">
        <v>771</v>
      </c>
      <c r="B183" s="229" t="s">
        <v>772</v>
      </c>
      <c r="C183" s="259" t="s">
        <v>152</v>
      </c>
      <c r="D183" s="372">
        <v>17</v>
      </c>
      <c r="E183" s="385">
        <v>10.0945</v>
      </c>
      <c r="F183" s="235">
        <f t="shared" si="26"/>
        <v>171.60650000000001</v>
      </c>
      <c r="G183" s="247">
        <v>17</v>
      </c>
      <c r="H183" s="267"/>
      <c r="I183" s="267">
        <f>7+10</f>
        <v>17</v>
      </c>
      <c r="J183" s="235"/>
      <c r="K183" s="234">
        <f t="shared" si="27"/>
        <v>171.60650000000001</v>
      </c>
      <c r="L183" s="234">
        <f t="shared" si="28"/>
        <v>0</v>
      </c>
      <c r="M183" s="234">
        <f t="shared" si="29"/>
        <v>171.60650000000001</v>
      </c>
      <c r="N183" s="252"/>
    </row>
    <row r="184" spans="1:14" ht="38.25">
      <c r="A184" s="259" t="s">
        <v>773</v>
      </c>
      <c r="B184" s="229" t="s">
        <v>774</v>
      </c>
      <c r="C184" s="259" t="s">
        <v>152</v>
      </c>
      <c r="D184" s="372">
        <v>3</v>
      </c>
      <c r="E184" s="385">
        <v>22.027999999999999</v>
      </c>
      <c r="F184" s="235">
        <f t="shared" si="26"/>
        <v>66.084000000000003</v>
      </c>
      <c r="G184" s="247">
        <v>3</v>
      </c>
      <c r="H184" s="267"/>
      <c r="I184" s="267">
        <f>1+2</f>
        <v>3</v>
      </c>
      <c r="J184" s="235"/>
      <c r="K184" s="234">
        <f t="shared" si="27"/>
        <v>66.084000000000003</v>
      </c>
      <c r="L184" s="234">
        <f t="shared" si="28"/>
        <v>0</v>
      </c>
      <c r="M184" s="234">
        <f t="shared" si="29"/>
        <v>66.084000000000003</v>
      </c>
      <c r="N184" s="252"/>
    </row>
    <row r="185" spans="1:14" ht="38.25">
      <c r="A185" s="259" t="s">
        <v>775</v>
      </c>
      <c r="B185" s="229" t="s">
        <v>776</v>
      </c>
      <c r="C185" s="259" t="s">
        <v>152</v>
      </c>
      <c r="D185" s="372">
        <v>7</v>
      </c>
      <c r="E185" s="385">
        <v>22.091999999999999</v>
      </c>
      <c r="F185" s="235">
        <f t="shared" si="26"/>
        <v>154.64400000000001</v>
      </c>
      <c r="G185" s="247">
        <v>7</v>
      </c>
      <c r="H185" s="267"/>
      <c r="I185" s="267">
        <v>7</v>
      </c>
      <c r="J185" s="235"/>
      <c r="K185" s="234">
        <f t="shared" si="27"/>
        <v>154.64400000000001</v>
      </c>
      <c r="L185" s="234">
        <f t="shared" si="28"/>
        <v>0</v>
      </c>
      <c r="M185" s="234">
        <f t="shared" si="29"/>
        <v>154.64400000000001</v>
      </c>
      <c r="N185" s="252"/>
    </row>
    <row r="186" spans="1:14" ht="38.25">
      <c r="A186" s="259" t="s">
        <v>777</v>
      </c>
      <c r="B186" s="229" t="s">
        <v>778</v>
      </c>
      <c r="C186" s="259" t="s">
        <v>152</v>
      </c>
      <c r="D186" s="372">
        <v>2</v>
      </c>
      <c r="E186" s="385">
        <v>9.3529999999999998</v>
      </c>
      <c r="F186" s="235">
        <f t="shared" si="26"/>
        <v>18.706</v>
      </c>
      <c r="G186" s="247">
        <v>2</v>
      </c>
      <c r="H186" s="267"/>
      <c r="I186" s="267">
        <v>2</v>
      </c>
      <c r="J186" s="235"/>
      <c r="K186" s="234">
        <f t="shared" si="27"/>
        <v>18.706</v>
      </c>
      <c r="L186" s="234">
        <f t="shared" si="28"/>
        <v>0</v>
      </c>
      <c r="M186" s="234">
        <f t="shared" si="29"/>
        <v>18.706</v>
      </c>
      <c r="N186" s="252"/>
    </row>
    <row r="187" spans="1:14" ht="25.5">
      <c r="A187" s="259" t="s">
        <v>779</v>
      </c>
      <c r="B187" s="229" t="s">
        <v>780</v>
      </c>
      <c r="C187" s="259" t="s">
        <v>152</v>
      </c>
      <c r="D187" s="372">
        <v>12</v>
      </c>
      <c r="E187" s="385">
        <v>56.987000000000002</v>
      </c>
      <c r="F187" s="235">
        <f t="shared" si="26"/>
        <v>683.84400000000005</v>
      </c>
      <c r="G187" s="247">
        <v>12</v>
      </c>
      <c r="H187" s="267"/>
      <c r="I187" s="267">
        <v>12</v>
      </c>
      <c r="J187" s="235"/>
      <c r="K187" s="234">
        <f t="shared" si="27"/>
        <v>683.84400000000005</v>
      </c>
      <c r="L187" s="234">
        <f t="shared" si="28"/>
        <v>0</v>
      </c>
      <c r="M187" s="234">
        <f t="shared" si="29"/>
        <v>683.84400000000005</v>
      </c>
      <c r="N187" s="252"/>
    </row>
    <row r="188" spans="1:14" ht="51">
      <c r="A188" s="259" t="s">
        <v>781</v>
      </c>
      <c r="B188" s="229" t="s">
        <v>782</v>
      </c>
      <c r="C188" s="259" t="s">
        <v>152</v>
      </c>
      <c r="D188" s="372">
        <v>5</v>
      </c>
      <c r="E188" s="385">
        <v>20.425999999999998</v>
      </c>
      <c r="F188" s="235">
        <f t="shared" si="26"/>
        <v>102.13</v>
      </c>
      <c r="G188" s="247">
        <v>5</v>
      </c>
      <c r="H188" s="267"/>
      <c r="I188" s="267">
        <v>5</v>
      </c>
      <c r="J188" s="235"/>
      <c r="K188" s="234">
        <f t="shared" si="27"/>
        <v>102.13</v>
      </c>
      <c r="L188" s="234">
        <f t="shared" si="28"/>
        <v>0</v>
      </c>
      <c r="M188" s="234">
        <f t="shared" si="29"/>
        <v>102.13</v>
      </c>
      <c r="N188" s="252"/>
    </row>
    <row r="189" spans="1:14" ht="38.25">
      <c r="A189" s="259" t="s">
        <v>783</v>
      </c>
      <c r="B189" s="229" t="s">
        <v>784</v>
      </c>
      <c r="C189" s="259" t="s">
        <v>189</v>
      </c>
      <c r="D189" s="372">
        <v>55.81</v>
      </c>
      <c r="E189" s="385">
        <v>16.609000000000002</v>
      </c>
      <c r="F189" s="235">
        <f t="shared" si="26"/>
        <v>926.94829000000016</v>
      </c>
      <c r="G189" s="247">
        <v>55.81</v>
      </c>
      <c r="H189" s="267"/>
      <c r="I189" s="267">
        <v>55.81</v>
      </c>
      <c r="J189" s="235"/>
      <c r="K189" s="234">
        <f t="shared" si="27"/>
        <v>926.94829000000016</v>
      </c>
      <c r="L189" s="234">
        <f t="shared" si="28"/>
        <v>0</v>
      </c>
      <c r="M189" s="234">
        <f t="shared" si="29"/>
        <v>926.94829000000016</v>
      </c>
      <c r="N189" s="252"/>
    </row>
    <row r="190" spans="1:14" ht="25.5">
      <c r="A190" s="259" t="s">
        <v>785</v>
      </c>
      <c r="B190" s="229" t="s">
        <v>786</v>
      </c>
      <c r="C190" s="259" t="s">
        <v>152</v>
      </c>
      <c r="D190" s="372">
        <v>10</v>
      </c>
      <c r="E190" s="385">
        <v>22.338999999999999</v>
      </c>
      <c r="F190" s="235">
        <f t="shared" si="26"/>
        <v>223.39</v>
      </c>
      <c r="G190" s="247">
        <v>10</v>
      </c>
      <c r="H190" s="267"/>
      <c r="I190" s="267">
        <v>10</v>
      </c>
      <c r="J190" s="235"/>
      <c r="K190" s="234">
        <f t="shared" si="27"/>
        <v>223.39</v>
      </c>
      <c r="L190" s="234">
        <f t="shared" si="28"/>
        <v>0</v>
      </c>
      <c r="M190" s="234">
        <f t="shared" si="29"/>
        <v>223.39</v>
      </c>
      <c r="N190" s="252"/>
    </row>
    <row r="191" spans="1:14" ht="38.25">
      <c r="A191" s="259" t="s">
        <v>787</v>
      </c>
      <c r="B191" s="229" t="s">
        <v>788</v>
      </c>
      <c r="C191" s="259" t="s">
        <v>189</v>
      </c>
      <c r="D191" s="372">
        <v>56.63</v>
      </c>
      <c r="E191" s="385">
        <v>25.316800000000001</v>
      </c>
      <c r="F191" s="235">
        <f t="shared" si="26"/>
        <v>1433.690384</v>
      </c>
      <c r="G191" s="247">
        <v>56.63</v>
      </c>
      <c r="H191" s="267"/>
      <c r="I191" s="267">
        <v>56.63</v>
      </c>
      <c r="J191" s="235"/>
      <c r="K191" s="234">
        <f t="shared" si="27"/>
        <v>1433.690384</v>
      </c>
      <c r="L191" s="234">
        <f t="shared" si="28"/>
        <v>0</v>
      </c>
      <c r="M191" s="234">
        <f t="shared" si="29"/>
        <v>1433.690384</v>
      </c>
      <c r="N191" s="252"/>
    </row>
    <row r="192" spans="1:14" ht="38.25">
      <c r="A192" s="259" t="s">
        <v>789</v>
      </c>
      <c r="B192" s="229" t="s">
        <v>790</v>
      </c>
      <c r="C192" s="259" t="s">
        <v>189</v>
      </c>
      <c r="D192" s="372">
        <v>1.7</v>
      </c>
      <c r="E192" s="385">
        <v>38.14</v>
      </c>
      <c r="F192" s="235">
        <f t="shared" si="26"/>
        <v>64.837999999999994</v>
      </c>
      <c r="G192" s="247">
        <v>1.7</v>
      </c>
      <c r="H192" s="267"/>
      <c r="I192" s="267">
        <v>1.7</v>
      </c>
      <c r="J192" s="235"/>
      <c r="K192" s="234">
        <f>E192*G192</f>
        <v>64.837999999999994</v>
      </c>
      <c r="L192" s="234">
        <f t="shared" si="28"/>
        <v>0</v>
      </c>
      <c r="M192" s="234">
        <f t="shared" si="29"/>
        <v>64.837999999999994</v>
      </c>
      <c r="N192" s="252"/>
    </row>
    <row r="193" spans="1:14" ht="38.25">
      <c r="A193" s="259" t="s">
        <v>791</v>
      </c>
      <c r="B193" s="229" t="s">
        <v>792</v>
      </c>
      <c r="C193" s="259" t="s">
        <v>189</v>
      </c>
      <c r="D193" s="372">
        <v>114.5</v>
      </c>
      <c r="E193" s="385">
        <v>47.838299999999997</v>
      </c>
      <c r="F193" s="235">
        <f t="shared" si="26"/>
        <v>5477.4853499999999</v>
      </c>
      <c r="G193" s="247">
        <v>114.5</v>
      </c>
      <c r="H193" s="267"/>
      <c r="I193" s="267">
        <f>75+39.5</f>
        <v>114.5</v>
      </c>
      <c r="J193" s="235"/>
      <c r="K193" s="234">
        <f>E193*G193</f>
        <v>5477.4853499999999</v>
      </c>
      <c r="L193" s="234">
        <f t="shared" si="28"/>
        <v>0</v>
      </c>
      <c r="M193" s="234">
        <f t="shared" si="29"/>
        <v>5477.4853499999999</v>
      </c>
      <c r="N193" s="252"/>
    </row>
    <row r="194" spans="1:14" s="307" customFormat="1" ht="18">
      <c r="A194" s="367" t="s">
        <v>198</v>
      </c>
      <c r="B194" s="478" t="s">
        <v>793</v>
      </c>
      <c r="C194" s="479"/>
      <c r="D194" s="479"/>
      <c r="E194" s="480"/>
      <c r="F194" s="301">
        <f>SUM(F195:F199)</f>
        <v>4291.3077999999996</v>
      </c>
      <c r="G194" s="302"/>
      <c r="H194" s="473"/>
      <c r="I194" s="303"/>
      <c r="J194" s="304"/>
      <c r="K194" s="306">
        <f>SUM(K195:K199)</f>
        <v>2968.2999999999997</v>
      </c>
      <c r="L194" s="306">
        <f>SUM(L195:L199)</f>
        <v>0</v>
      </c>
      <c r="M194" s="306">
        <f>SUM(M195:M199)</f>
        <v>2968.2999999999997</v>
      </c>
      <c r="N194" s="281"/>
    </row>
    <row r="195" spans="1:14" ht="25.5">
      <c r="A195" s="259" t="s">
        <v>794</v>
      </c>
      <c r="B195" s="229" t="s">
        <v>795</v>
      </c>
      <c r="C195" s="259" t="s">
        <v>152</v>
      </c>
      <c r="D195" s="372">
        <v>13</v>
      </c>
      <c r="E195" s="385">
        <v>191.83699999999999</v>
      </c>
      <c r="F195" s="235">
        <f t="shared" si="26"/>
        <v>2493.8809999999999</v>
      </c>
      <c r="G195" s="247">
        <v>10</v>
      </c>
      <c r="H195" s="267"/>
      <c r="I195" s="267">
        <v>10</v>
      </c>
      <c r="J195" s="235"/>
      <c r="K195" s="234">
        <f>E195*G195</f>
        <v>1918.37</v>
      </c>
      <c r="L195" s="234">
        <f>E195*H195</f>
        <v>0</v>
      </c>
      <c r="M195" s="234">
        <f>E195*I195</f>
        <v>1918.37</v>
      </c>
      <c r="N195" s="252"/>
    </row>
    <row r="196" spans="1:14" ht="38.25">
      <c r="A196" s="259" t="s">
        <v>796</v>
      </c>
      <c r="B196" s="229" t="s">
        <v>797</v>
      </c>
      <c r="C196" s="259" t="s">
        <v>152</v>
      </c>
      <c r="D196" s="372">
        <v>24</v>
      </c>
      <c r="E196" s="385">
        <v>29.09</v>
      </c>
      <c r="F196" s="235">
        <f t="shared" si="26"/>
        <v>698.16</v>
      </c>
      <c r="G196" s="247">
        <v>24</v>
      </c>
      <c r="H196" s="267"/>
      <c r="I196" s="267">
        <v>24</v>
      </c>
      <c r="J196" s="235"/>
      <c r="K196" s="234">
        <f t="shared" ref="K196:K197" si="30">E196*G196</f>
        <v>698.16</v>
      </c>
      <c r="L196" s="234">
        <f t="shared" ref="L196:L199" si="31">E196*H196</f>
        <v>0</v>
      </c>
      <c r="M196" s="234">
        <f t="shared" ref="M196:M199" si="32">E196*I196</f>
        <v>698.16</v>
      </c>
      <c r="N196" s="252"/>
    </row>
    <row r="197" spans="1:14">
      <c r="A197" s="259" t="s">
        <v>798</v>
      </c>
      <c r="B197" s="229" t="s">
        <v>799</v>
      </c>
      <c r="C197" s="259" t="s">
        <v>152</v>
      </c>
      <c r="D197" s="372">
        <v>1</v>
      </c>
      <c r="E197" s="385">
        <v>351.77</v>
      </c>
      <c r="F197" s="235">
        <f t="shared" si="26"/>
        <v>351.77</v>
      </c>
      <c r="G197" s="247">
        <v>1</v>
      </c>
      <c r="H197" s="267"/>
      <c r="I197" s="267">
        <v>1</v>
      </c>
      <c r="J197" s="235"/>
      <c r="K197" s="234">
        <f t="shared" si="30"/>
        <v>351.77</v>
      </c>
      <c r="L197" s="234">
        <f t="shared" si="31"/>
        <v>0</v>
      </c>
      <c r="M197" s="234">
        <f t="shared" si="32"/>
        <v>351.77</v>
      </c>
      <c r="N197" s="252"/>
    </row>
    <row r="198" spans="1:14" ht="25.5">
      <c r="A198" s="259" t="s">
        <v>800</v>
      </c>
      <c r="B198" s="229" t="s">
        <v>801</v>
      </c>
      <c r="C198" s="259" t="s">
        <v>152</v>
      </c>
      <c r="D198" s="372">
        <v>31</v>
      </c>
      <c r="E198" s="385">
        <v>5.9233000000000002</v>
      </c>
      <c r="F198" s="235">
        <f t="shared" si="26"/>
        <v>183.6223</v>
      </c>
      <c r="G198" s="247"/>
      <c r="H198" s="267"/>
      <c r="I198" s="236"/>
      <c r="J198" s="235"/>
      <c r="K198" s="234"/>
      <c r="L198" s="234">
        <f t="shared" si="31"/>
        <v>0</v>
      </c>
      <c r="M198" s="234">
        <f t="shared" si="32"/>
        <v>0</v>
      </c>
      <c r="N198" s="252"/>
    </row>
    <row r="199" spans="1:14" ht="25.5">
      <c r="A199" s="259" t="s">
        <v>802</v>
      </c>
      <c r="B199" s="229" t="s">
        <v>803</v>
      </c>
      <c r="C199" s="259" t="s">
        <v>152</v>
      </c>
      <c r="D199" s="372">
        <v>31</v>
      </c>
      <c r="E199" s="385">
        <v>18.189499999999999</v>
      </c>
      <c r="F199" s="235">
        <f t="shared" si="26"/>
        <v>563.87450000000001</v>
      </c>
      <c r="G199" s="247"/>
      <c r="H199" s="267"/>
      <c r="I199" s="236"/>
      <c r="J199" s="235"/>
      <c r="K199" s="234"/>
      <c r="L199" s="234">
        <f t="shared" si="31"/>
        <v>0</v>
      </c>
      <c r="M199" s="234">
        <f t="shared" si="32"/>
        <v>0</v>
      </c>
      <c r="N199" s="252"/>
    </row>
    <row r="200" spans="1:14" s="307" customFormat="1" ht="18">
      <c r="A200" s="367" t="s">
        <v>201</v>
      </c>
      <c r="B200" s="478" t="s">
        <v>804</v>
      </c>
      <c r="C200" s="479"/>
      <c r="D200" s="479"/>
      <c r="E200" s="480"/>
      <c r="F200" s="301">
        <f>SUM(F201:F209)+0.01</f>
        <v>19332.728099999997</v>
      </c>
      <c r="G200" s="302"/>
      <c r="H200" s="473"/>
      <c r="I200" s="303"/>
      <c r="J200" s="304"/>
      <c r="K200" s="305">
        <f>SUM(K201:K209)</f>
        <v>0</v>
      </c>
      <c r="L200" s="305">
        <f>SUM(L201:L209)</f>
        <v>0</v>
      </c>
      <c r="M200" s="305">
        <f>SUM(M201:M209)</f>
        <v>0</v>
      </c>
      <c r="N200" s="281"/>
    </row>
    <row r="201" spans="1:14" ht="63.75">
      <c r="A201" s="259" t="s">
        <v>805</v>
      </c>
      <c r="B201" s="229" t="s">
        <v>806</v>
      </c>
      <c r="C201" s="259" t="s">
        <v>152</v>
      </c>
      <c r="D201" s="372">
        <v>18</v>
      </c>
      <c r="E201" s="385">
        <v>202.738</v>
      </c>
      <c r="F201" s="235">
        <f t="shared" si="26"/>
        <v>3649.2840000000001</v>
      </c>
      <c r="G201" s="247"/>
      <c r="H201" s="267"/>
      <c r="I201" s="236"/>
      <c r="J201" s="235"/>
      <c r="K201" s="234"/>
      <c r="L201" s="234"/>
      <c r="M201" s="234"/>
      <c r="N201" s="252"/>
    </row>
    <row r="202" spans="1:14" ht="51">
      <c r="A202" s="259" t="s">
        <v>807</v>
      </c>
      <c r="B202" s="229" t="s">
        <v>808</v>
      </c>
      <c r="C202" s="259" t="s">
        <v>152</v>
      </c>
      <c r="D202" s="372">
        <v>2</v>
      </c>
      <c r="E202" s="385">
        <v>755.27599999999995</v>
      </c>
      <c r="F202" s="235">
        <f t="shared" si="26"/>
        <v>1510.5519999999999</v>
      </c>
      <c r="G202" s="247"/>
      <c r="H202" s="267"/>
      <c r="I202" s="236"/>
      <c r="J202" s="235"/>
      <c r="K202" s="234"/>
      <c r="L202" s="234"/>
      <c r="M202" s="234"/>
      <c r="N202" s="252"/>
    </row>
    <row r="203" spans="1:14" ht="51">
      <c r="A203" s="259" t="s">
        <v>809</v>
      </c>
      <c r="B203" s="229" t="s">
        <v>810</v>
      </c>
      <c r="C203" s="259" t="s">
        <v>189</v>
      </c>
      <c r="D203" s="372">
        <v>4.8</v>
      </c>
      <c r="E203" s="385">
        <v>1037.2539999999999</v>
      </c>
      <c r="F203" s="235">
        <f t="shared" si="26"/>
        <v>4978.819199999999</v>
      </c>
      <c r="G203" s="247"/>
      <c r="H203" s="267"/>
      <c r="I203" s="236"/>
      <c r="J203" s="235"/>
      <c r="K203" s="234"/>
      <c r="L203" s="234"/>
      <c r="M203" s="234"/>
      <c r="N203" s="252"/>
    </row>
    <row r="204" spans="1:14">
      <c r="A204" s="259" t="s">
        <v>811</v>
      </c>
      <c r="B204" s="229" t="s">
        <v>812</v>
      </c>
      <c r="C204" s="259" t="s">
        <v>60</v>
      </c>
      <c r="D204" s="372">
        <v>8.4700000000000006</v>
      </c>
      <c r="E204" s="385">
        <v>278.27</v>
      </c>
      <c r="F204" s="235">
        <f t="shared" si="26"/>
        <v>2356.9468999999999</v>
      </c>
      <c r="G204" s="247"/>
      <c r="H204" s="267"/>
      <c r="I204" s="236"/>
      <c r="J204" s="235"/>
      <c r="K204" s="234"/>
      <c r="L204" s="234"/>
      <c r="M204" s="234"/>
      <c r="N204" s="252"/>
    </row>
    <row r="205" spans="1:14" ht="63.75">
      <c r="A205" s="259" t="s">
        <v>813</v>
      </c>
      <c r="B205" s="229" t="s">
        <v>814</v>
      </c>
      <c r="C205" s="259" t="s">
        <v>152</v>
      </c>
      <c r="D205" s="372">
        <v>1</v>
      </c>
      <c r="E205" s="385">
        <v>746.7</v>
      </c>
      <c r="F205" s="235">
        <f>D205*E205</f>
        <v>746.7</v>
      </c>
      <c r="G205" s="247"/>
      <c r="H205" s="267"/>
      <c r="I205" s="236"/>
      <c r="J205" s="235"/>
      <c r="K205" s="234"/>
      <c r="L205" s="234"/>
      <c r="M205" s="234"/>
      <c r="N205" s="252"/>
    </row>
    <row r="206" spans="1:14" ht="25.5">
      <c r="A206" s="259" t="s">
        <v>815</v>
      </c>
      <c r="B206" s="229" t="s">
        <v>816</v>
      </c>
      <c r="C206" s="259" t="s">
        <v>152</v>
      </c>
      <c r="D206" s="372">
        <v>8</v>
      </c>
      <c r="E206" s="385">
        <v>179.86099999999999</v>
      </c>
      <c r="F206" s="235">
        <f t="shared" si="26"/>
        <v>1438.8879999999999</v>
      </c>
      <c r="G206" s="247"/>
      <c r="H206" s="267"/>
      <c r="I206" s="236"/>
      <c r="J206" s="235"/>
      <c r="K206" s="234"/>
      <c r="L206" s="234"/>
      <c r="M206" s="234"/>
      <c r="N206" s="252"/>
    </row>
    <row r="207" spans="1:14" ht="38.25">
      <c r="A207" s="259" t="s">
        <v>817</v>
      </c>
      <c r="B207" s="229" t="s">
        <v>818</v>
      </c>
      <c r="C207" s="259" t="s">
        <v>152</v>
      </c>
      <c r="D207" s="372">
        <v>8</v>
      </c>
      <c r="E207" s="385">
        <v>144.80500000000001</v>
      </c>
      <c r="F207" s="235">
        <f t="shared" si="26"/>
        <v>1158.44</v>
      </c>
      <c r="G207" s="247"/>
      <c r="H207" s="267"/>
      <c r="I207" s="236"/>
      <c r="J207" s="235"/>
      <c r="K207" s="234"/>
      <c r="L207" s="234"/>
      <c r="M207" s="234"/>
      <c r="N207" s="252"/>
    </row>
    <row r="208" spans="1:14" ht="38.25">
      <c r="A208" s="259" t="s">
        <v>819</v>
      </c>
      <c r="B208" s="229" t="s">
        <v>820</v>
      </c>
      <c r="C208" s="259" t="s">
        <v>152</v>
      </c>
      <c r="D208" s="372">
        <v>7</v>
      </c>
      <c r="E208" s="385">
        <v>420.78399999999999</v>
      </c>
      <c r="F208" s="235">
        <f t="shared" si="26"/>
        <v>2945.4879999999998</v>
      </c>
      <c r="G208" s="247"/>
      <c r="H208" s="267"/>
      <c r="I208" s="236"/>
      <c r="J208" s="235"/>
      <c r="K208" s="234"/>
      <c r="L208" s="234"/>
      <c r="M208" s="234"/>
      <c r="N208" s="252"/>
    </row>
    <row r="209" spans="1:14" ht="25.5">
      <c r="A209" s="259" t="s">
        <v>821</v>
      </c>
      <c r="B209" s="229" t="s">
        <v>822</v>
      </c>
      <c r="C209" s="259" t="s">
        <v>152</v>
      </c>
      <c r="D209" s="372">
        <v>1</v>
      </c>
      <c r="E209" s="385">
        <v>547.6</v>
      </c>
      <c r="F209" s="235">
        <f t="shared" si="26"/>
        <v>547.6</v>
      </c>
      <c r="G209" s="247"/>
      <c r="H209" s="267"/>
      <c r="I209" s="236"/>
      <c r="J209" s="235"/>
      <c r="K209" s="234"/>
      <c r="L209" s="234"/>
      <c r="M209" s="234"/>
      <c r="N209" s="252"/>
    </row>
    <row r="210" spans="1:14" s="307" customFormat="1" ht="18">
      <c r="A210" s="367" t="s">
        <v>204</v>
      </c>
      <c r="B210" s="478" t="s">
        <v>823</v>
      </c>
      <c r="C210" s="479"/>
      <c r="D210" s="479"/>
      <c r="E210" s="480"/>
      <c r="F210" s="301">
        <f>SUM(F211:F213)</f>
        <v>911.47508999999991</v>
      </c>
      <c r="G210" s="302"/>
      <c r="H210" s="473"/>
      <c r="I210" s="303"/>
      <c r="J210" s="304"/>
      <c r="K210" s="305">
        <f>SUM(K211:K213)</f>
        <v>0</v>
      </c>
      <c r="L210" s="305">
        <f>SUM(L211:L213)</f>
        <v>0</v>
      </c>
      <c r="M210" s="305">
        <f>SUM(M211:M213)</f>
        <v>0</v>
      </c>
      <c r="N210" s="281"/>
    </row>
    <row r="211" spans="1:14" ht="38.25">
      <c r="A211" s="259" t="s">
        <v>824</v>
      </c>
      <c r="B211" s="229" t="s">
        <v>825</v>
      </c>
      <c r="C211" s="259" t="s">
        <v>189</v>
      </c>
      <c r="D211" s="372">
        <v>20.46</v>
      </c>
      <c r="E211" s="385">
        <v>38.141500000000001</v>
      </c>
      <c r="F211" s="235">
        <f t="shared" si="26"/>
        <v>780.37509</v>
      </c>
      <c r="G211" s="247"/>
      <c r="H211" s="267"/>
      <c r="I211" s="236"/>
      <c r="J211" s="235"/>
      <c r="K211" s="234"/>
      <c r="L211" s="234"/>
      <c r="M211" s="234"/>
      <c r="N211" s="252"/>
    </row>
    <row r="212" spans="1:14" ht="38.25">
      <c r="A212" s="259" t="s">
        <v>826</v>
      </c>
      <c r="B212" s="229" t="s">
        <v>827</v>
      </c>
      <c r="C212" s="259" t="s">
        <v>152</v>
      </c>
      <c r="D212" s="372">
        <v>5</v>
      </c>
      <c r="E212" s="385">
        <v>17.082000000000001</v>
      </c>
      <c r="F212" s="235">
        <f t="shared" si="26"/>
        <v>85.41</v>
      </c>
      <c r="G212" s="247"/>
      <c r="H212" s="267"/>
      <c r="I212" s="236"/>
      <c r="J212" s="235"/>
      <c r="K212" s="234"/>
      <c r="L212" s="234"/>
      <c r="M212" s="234"/>
      <c r="N212" s="252"/>
    </row>
    <row r="213" spans="1:14" ht="25.5">
      <c r="A213" s="259" t="s">
        <v>828</v>
      </c>
      <c r="B213" s="229" t="s">
        <v>829</v>
      </c>
      <c r="C213" s="259" t="s">
        <v>152</v>
      </c>
      <c r="D213" s="372">
        <v>5</v>
      </c>
      <c r="E213" s="385">
        <v>9.1379999999999999</v>
      </c>
      <c r="F213" s="235">
        <f t="shared" si="26"/>
        <v>45.69</v>
      </c>
      <c r="G213" s="247"/>
      <c r="H213" s="267"/>
      <c r="I213" s="236"/>
      <c r="J213" s="235"/>
      <c r="K213" s="234"/>
      <c r="L213" s="234"/>
      <c r="M213" s="234"/>
      <c r="N213" s="252"/>
    </row>
    <row r="214" spans="1:14" ht="8.1" customHeight="1">
      <c r="A214" s="484"/>
      <c r="B214" s="484"/>
      <c r="C214" s="484"/>
      <c r="D214" s="484"/>
      <c r="E214" s="484"/>
      <c r="F214" s="484"/>
      <c r="G214" s="484"/>
      <c r="H214" s="484"/>
      <c r="I214" s="484"/>
      <c r="J214" s="484"/>
      <c r="K214" s="484"/>
      <c r="L214" s="484"/>
      <c r="M214" s="484"/>
      <c r="N214" s="252"/>
    </row>
    <row r="215" spans="1:14" s="416" customFormat="1" ht="18" customHeight="1">
      <c r="A215" s="407" t="s">
        <v>830</v>
      </c>
      <c r="B215" s="481" t="s">
        <v>831</v>
      </c>
      <c r="C215" s="482"/>
      <c r="D215" s="482"/>
      <c r="E215" s="483"/>
      <c r="F215" s="408">
        <f>SUM(F216:F253)</f>
        <v>41814.853317100016</v>
      </c>
      <c r="G215" s="409"/>
      <c r="H215" s="465"/>
      <c r="I215" s="410"/>
      <c r="J215" s="426"/>
      <c r="K215" s="422">
        <f>SUM(K216:K253)</f>
        <v>6988.7998370000014</v>
      </c>
      <c r="L215" s="422">
        <f>SUM(L216:L253)</f>
        <v>0</v>
      </c>
      <c r="M215" s="422">
        <f>SUM(M216:M253)</f>
        <v>6988.7998370000014</v>
      </c>
      <c r="N215" s="424"/>
    </row>
    <row r="216" spans="1:14" ht="25.5">
      <c r="A216" s="259" t="s">
        <v>219</v>
      </c>
      <c r="B216" s="229" t="s">
        <v>832</v>
      </c>
      <c r="C216" s="266" t="s">
        <v>152</v>
      </c>
      <c r="D216" s="372">
        <v>0</v>
      </c>
      <c r="E216" s="385">
        <v>732.94</v>
      </c>
      <c r="F216" s="235"/>
      <c r="G216" s="247"/>
      <c r="H216" s="466"/>
      <c r="I216" s="236"/>
      <c r="J216" s="235"/>
      <c r="K216" s="234"/>
      <c r="L216" s="234"/>
      <c r="M216" s="234"/>
      <c r="N216" s="252"/>
    </row>
    <row r="217" spans="1:14">
      <c r="A217" s="259" t="s">
        <v>221</v>
      </c>
      <c r="B217" s="229" t="s">
        <v>833</v>
      </c>
      <c r="C217" s="266" t="s">
        <v>81</v>
      </c>
      <c r="D217" s="372">
        <v>0.35</v>
      </c>
      <c r="E217" s="385">
        <v>25.61</v>
      </c>
      <c r="F217" s="235">
        <f t="shared" ref="F217:F252" si="33">E217*D217</f>
        <v>8.9634999999999998</v>
      </c>
      <c r="G217" s="247"/>
      <c r="H217" s="267"/>
      <c r="I217" s="236"/>
      <c r="J217" s="235"/>
      <c r="K217" s="234"/>
      <c r="L217" s="234"/>
      <c r="M217" s="234"/>
      <c r="N217" s="252"/>
    </row>
    <row r="218" spans="1:14" ht="51">
      <c r="A218" s="259" t="s">
        <v>223</v>
      </c>
      <c r="B218" s="229" t="s">
        <v>834</v>
      </c>
      <c r="C218" s="266" t="s">
        <v>152</v>
      </c>
      <c r="D218" s="372">
        <v>2</v>
      </c>
      <c r="E218" s="385">
        <v>612.87</v>
      </c>
      <c r="F218" s="235">
        <f t="shared" si="33"/>
        <v>1225.74</v>
      </c>
      <c r="G218" s="247"/>
      <c r="H218" s="267"/>
      <c r="I218" s="236"/>
      <c r="J218" s="235"/>
      <c r="K218" s="243"/>
      <c r="L218" s="234"/>
      <c r="M218" s="243"/>
      <c r="N218" s="252"/>
    </row>
    <row r="219" spans="1:14" ht="38.25">
      <c r="A219" s="259" t="s">
        <v>225</v>
      </c>
      <c r="B219" s="229" t="s">
        <v>835</v>
      </c>
      <c r="C219" s="266" t="s">
        <v>81</v>
      </c>
      <c r="D219" s="372">
        <v>0.06</v>
      </c>
      <c r="E219" s="385">
        <v>337.87</v>
      </c>
      <c r="F219" s="235">
        <f t="shared" si="33"/>
        <v>20.272199999999998</v>
      </c>
      <c r="G219" s="247"/>
      <c r="H219" s="267"/>
      <c r="I219" s="236"/>
      <c r="J219" s="235"/>
      <c r="K219" s="243"/>
      <c r="L219" s="234"/>
      <c r="M219" s="243"/>
      <c r="N219" s="252"/>
    </row>
    <row r="220" spans="1:14" ht="25.5">
      <c r="A220" s="259" t="s">
        <v>227</v>
      </c>
      <c r="B220" s="229" t="s">
        <v>836</v>
      </c>
      <c r="C220" s="266" t="s">
        <v>81</v>
      </c>
      <c r="D220" s="372">
        <v>0.06</v>
      </c>
      <c r="E220" s="385">
        <v>84.49</v>
      </c>
      <c r="F220" s="235">
        <f t="shared" si="33"/>
        <v>5.0693999999999999</v>
      </c>
      <c r="G220" s="247"/>
      <c r="H220" s="267"/>
      <c r="I220" s="236"/>
      <c r="J220" s="235"/>
      <c r="K220" s="243"/>
      <c r="L220" s="234"/>
      <c r="M220" s="243"/>
      <c r="N220" s="252"/>
    </row>
    <row r="221" spans="1:14">
      <c r="A221" s="259" t="s">
        <v>230</v>
      </c>
      <c r="B221" s="229" t="s">
        <v>837</v>
      </c>
      <c r="C221" s="266" t="s">
        <v>81</v>
      </c>
      <c r="D221" s="372">
        <v>0.28999999999999998</v>
      </c>
      <c r="E221" s="385">
        <v>44.81</v>
      </c>
      <c r="F221" s="235">
        <f t="shared" si="33"/>
        <v>12.994899999999999</v>
      </c>
      <c r="G221" s="247"/>
      <c r="H221" s="267"/>
      <c r="I221" s="236"/>
      <c r="J221" s="235"/>
      <c r="K221" s="243"/>
      <c r="L221" s="234"/>
      <c r="M221" s="243"/>
      <c r="N221" s="252"/>
    </row>
    <row r="222" spans="1:14" ht="25.5">
      <c r="A222" s="259" t="s">
        <v>233</v>
      </c>
      <c r="B222" s="229" t="s">
        <v>838</v>
      </c>
      <c r="C222" s="266" t="s">
        <v>152</v>
      </c>
      <c r="D222" s="372">
        <v>24</v>
      </c>
      <c r="E222" s="385">
        <v>11.3</v>
      </c>
      <c r="F222" s="235">
        <f>E222*D222-0.04</f>
        <v>271.16000000000003</v>
      </c>
      <c r="G222" s="247"/>
      <c r="H222" s="267"/>
      <c r="I222" s="236"/>
      <c r="J222" s="235"/>
      <c r="K222" s="243"/>
      <c r="L222" s="234"/>
      <c r="M222" s="243"/>
      <c r="N222" s="252"/>
    </row>
    <row r="223" spans="1:14" ht="25.5">
      <c r="A223" s="259" t="s">
        <v>236</v>
      </c>
      <c r="B223" s="229" t="s">
        <v>839</v>
      </c>
      <c r="C223" s="266" t="s">
        <v>152</v>
      </c>
      <c r="D223" s="372">
        <v>2</v>
      </c>
      <c r="E223" s="385">
        <v>73.736000000000004</v>
      </c>
      <c r="F223" s="235">
        <f t="shared" si="33"/>
        <v>147.47200000000001</v>
      </c>
      <c r="G223" s="247"/>
      <c r="H223" s="267"/>
      <c r="I223" s="236"/>
      <c r="J223" s="235"/>
      <c r="K223" s="243"/>
      <c r="L223" s="234"/>
      <c r="M223" s="243"/>
      <c r="N223" s="252"/>
    </row>
    <row r="224" spans="1:14" ht="38.25">
      <c r="A224" s="259" t="s">
        <v>239</v>
      </c>
      <c r="B224" s="229" t="s">
        <v>840</v>
      </c>
      <c r="C224" s="266" t="s">
        <v>152</v>
      </c>
      <c r="D224" s="372">
        <v>3</v>
      </c>
      <c r="E224" s="385">
        <v>176.31299999999999</v>
      </c>
      <c r="F224" s="235">
        <f t="shared" si="33"/>
        <v>528.93899999999996</v>
      </c>
      <c r="G224" s="247"/>
      <c r="H224" s="267"/>
      <c r="I224" s="236"/>
      <c r="J224" s="235"/>
      <c r="K224" s="243"/>
      <c r="L224" s="234"/>
      <c r="M224" s="243"/>
      <c r="N224" s="252"/>
    </row>
    <row r="225" spans="1:14" ht="25.5">
      <c r="A225" s="259" t="s">
        <v>242</v>
      </c>
      <c r="B225" s="229" t="s">
        <v>841</v>
      </c>
      <c r="C225" s="266" t="s">
        <v>152</v>
      </c>
      <c r="D225" s="372">
        <v>1</v>
      </c>
      <c r="E225" s="385">
        <v>99.2</v>
      </c>
      <c r="F225" s="235">
        <f t="shared" si="33"/>
        <v>99.2</v>
      </c>
      <c r="G225" s="247"/>
      <c r="H225" s="267"/>
      <c r="I225" s="236"/>
      <c r="J225" s="235"/>
      <c r="K225" s="243"/>
      <c r="L225" s="234"/>
      <c r="M225" s="243"/>
      <c r="N225" s="252"/>
    </row>
    <row r="226" spans="1:14" ht="25.5">
      <c r="A226" s="259" t="s">
        <v>244</v>
      </c>
      <c r="B226" s="229" t="s">
        <v>842</v>
      </c>
      <c r="C226" s="266" t="s">
        <v>152</v>
      </c>
      <c r="D226" s="372">
        <v>12</v>
      </c>
      <c r="E226" s="385">
        <v>96.44</v>
      </c>
      <c r="F226" s="235">
        <f t="shared" si="33"/>
        <v>1157.28</v>
      </c>
      <c r="G226" s="247"/>
      <c r="H226" s="267"/>
      <c r="I226" s="236"/>
      <c r="J226" s="235"/>
      <c r="K226" s="243"/>
      <c r="L226" s="234"/>
      <c r="M226" s="243"/>
      <c r="N226" s="252"/>
    </row>
    <row r="227" spans="1:14" ht="25.5">
      <c r="A227" s="259" t="s">
        <v>246</v>
      </c>
      <c r="B227" s="229" t="s">
        <v>843</v>
      </c>
      <c r="C227" s="266" t="s">
        <v>152</v>
      </c>
      <c r="D227" s="372">
        <v>25</v>
      </c>
      <c r="E227" s="385">
        <v>20.49</v>
      </c>
      <c r="F227" s="235">
        <f t="shared" si="33"/>
        <v>512.25</v>
      </c>
      <c r="G227" s="247"/>
      <c r="H227" s="267"/>
      <c r="I227" s="236"/>
      <c r="J227" s="235"/>
      <c r="K227" s="243"/>
      <c r="L227" s="234"/>
      <c r="M227" s="243"/>
      <c r="N227" s="252"/>
    </row>
    <row r="228" spans="1:14" ht="25.5">
      <c r="A228" s="259" t="s">
        <v>248</v>
      </c>
      <c r="B228" s="229" t="s">
        <v>844</v>
      </c>
      <c r="C228" s="266" t="s">
        <v>152</v>
      </c>
      <c r="D228" s="372">
        <v>81</v>
      </c>
      <c r="E228" s="385">
        <v>34.465000000000003</v>
      </c>
      <c r="F228" s="235">
        <f t="shared" si="33"/>
        <v>2791.6650000000004</v>
      </c>
      <c r="G228" s="247"/>
      <c r="H228" s="267"/>
      <c r="I228" s="236"/>
      <c r="J228" s="235"/>
      <c r="K228" s="243"/>
      <c r="L228" s="234"/>
      <c r="M228" s="243"/>
      <c r="N228" s="252"/>
    </row>
    <row r="229" spans="1:14" ht="25.5">
      <c r="A229" s="259" t="s">
        <v>250</v>
      </c>
      <c r="B229" s="229" t="s">
        <v>845</v>
      </c>
      <c r="C229" s="266" t="s">
        <v>152</v>
      </c>
      <c r="D229" s="372">
        <v>1</v>
      </c>
      <c r="E229" s="385">
        <v>32.49</v>
      </c>
      <c r="F229" s="235">
        <f t="shared" si="33"/>
        <v>32.49</v>
      </c>
      <c r="G229" s="247"/>
      <c r="H229" s="267"/>
      <c r="I229" s="236"/>
      <c r="J229" s="235"/>
      <c r="K229" s="243"/>
      <c r="L229" s="234"/>
      <c r="M229" s="243"/>
      <c r="N229" s="252"/>
    </row>
    <row r="230" spans="1:14" ht="25.5">
      <c r="A230" s="259" t="s">
        <v>253</v>
      </c>
      <c r="B230" s="229" t="s">
        <v>846</v>
      </c>
      <c r="C230" s="266" t="s">
        <v>152</v>
      </c>
      <c r="D230" s="372">
        <v>2</v>
      </c>
      <c r="E230" s="385">
        <v>25.23</v>
      </c>
      <c r="F230" s="235">
        <f t="shared" si="33"/>
        <v>50.46</v>
      </c>
      <c r="G230" s="247"/>
      <c r="H230" s="267"/>
      <c r="I230" s="236"/>
      <c r="J230" s="235"/>
      <c r="K230" s="243"/>
      <c r="L230" s="234"/>
      <c r="M230" s="243"/>
      <c r="N230" s="252"/>
    </row>
    <row r="231" spans="1:14" ht="25.5">
      <c r="A231" s="259" t="s">
        <v>256</v>
      </c>
      <c r="B231" s="229" t="s">
        <v>847</v>
      </c>
      <c r="C231" s="266" t="s">
        <v>152</v>
      </c>
      <c r="D231" s="372">
        <v>11</v>
      </c>
      <c r="E231" s="385">
        <v>36.131999999999998</v>
      </c>
      <c r="F231" s="235">
        <f t="shared" si="33"/>
        <v>397.452</v>
      </c>
      <c r="G231" s="247"/>
      <c r="H231" s="267"/>
      <c r="I231" s="236"/>
      <c r="J231" s="235"/>
      <c r="K231" s="243"/>
      <c r="L231" s="234"/>
      <c r="M231" s="243"/>
      <c r="N231" s="252"/>
    </row>
    <row r="232" spans="1:14" ht="38.25">
      <c r="A232" s="259" t="s">
        <v>259</v>
      </c>
      <c r="B232" s="229" t="s">
        <v>848</v>
      </c>
      <c r="C232" s="266" t="s">
        <v>152</v>
      </c>
      <c r="D232" s="372">
        <v>33</v>
      </c>
      <c r="E232" s="385">
        <v>21.725999999999999</v>
      </c>
      <c r="F232" s="235">
        <f t="shared" si="33"/>
        <v>716.95799999999997</v>
      </c>
      <c r="G232" s="247"/>
      <c r="H232" s="267"/>
      <c r="I232" s="236"/>
      <c r="J232" s="235"/>
      <c r="K232" s="243"/>
      <c r="L232" s="234"/>
      <c r="M232" s="243"/>
      <c r="N232" s="252"/>
    </row>
    <row r="233" spans="1:14" ht="38.25">
      <c r="A233" s="259" t="s">
        <v>262</v>
      </c>
      <c r="B233" s="229" t="s">
        <v>849</v>
      </c>
      <c r="C233" s="266" t="s">
        <v>152</v>
      </c>
      <c r="D233" s="372">
        <v>19</v>
      </c>
      <c r="E233" s="385">
        <v>23.7685</v>
      </c>
      <c r="F233" s="235">
        <f t="shared" si="33"/>
        <v>451.60149999999999</v>
      </c>
      <c r="G233" s="247"/>
      <c r="H233" s="267"/>
      <c r="I233" s="236"/>
      <c r="J233" s="235"/>
      <c r="K233" s="243"/>
      <c r="L233" s="234"/>
      <c r="M233" s="243"/>
      <c r="N233" s="252"/>
    </row>
    <row r="234" spans="1:14" ht="38.25">
      <c r="A234" s="259" t="s">
        <v>264</v>
      </c>
      <c r="B234" s="229" t="s">
        <v>850</v>
      </c>
      <c r="C234" s="266" t="s">
        <v>152</v>
      </c>
      <c r="D234" s="372">
        <v>27</v>
      </c>
      <c r="E234" s="385">
        <v>34.9</v>
      </c>
      <c r="F234" s="235">
        <f>E234*D234-0.13</f>
        <v>942.17</v>
      </c>
      <c r="G234" s="247"/>
      <c r="H234" s="267"/>
      <c r="I234" s="236"/>
      <c r="J234" s="235"/>
      <c r="K234" s="243"/>
      <c r="L234" s="234"/>
      <c r="M234" s="243"/>
      <c r="N234" s="252"/>
    </row>
    <row r="235" spans="1:14" ht="38.25">
      <c r="A235" s="259" t="s">
        <v>266</v>
      </c>
      <c r="B235" s="229" t="s">
        <v>851</v>
      </c>
      <c r="C235" s="266" t="s">
        <v>189</v>
      </c>
      <c r="D235" s="372">
        <v>226.5</v>
      </c>
      <c r="E235" s="385">
        <v>2.6122999999999998</v>
      </c>
      <c r="F235" s="235">
        <f t="shared" si="33"/>
        <v>591.68594999999993</v>
      </c>
      <c r="G235" s="247"/>
      <c r="H235" s="267"/>
      <c r="I235" s="236"/>
      <c r="J235" s="235"/>
      <c r="K235" s="243"/>
      <c r="L235" s="234"/>
      <c r="M235" s="243"/>
      <c r="N235" s="252"/>
    </row>
    <row r="236" spans="1:14" ht="38.25">
      <c r="A236" s="259" t="s">
        <v>268</v>
      </c>
      <c r="B236" s="229" t="s">
        <v>852</v>
      </c>
      <c r="C236" s="266" t="s">
        <v>189</v>
      </c>
      <c r="D236" s="372">
        <v>1454.1</v>
      </c>
      <c r="E236" s="385">
        <v>3.8915700000000002</v>
      </c>
      <c r="F236" s="235">
        <f t="shared" si="33"/>
        <v>5658.7319369999996</v>
      </c>
      <c r="G236" s="247"/>
      <c r="H236" s="267"/>
      <c r="I236" s="236"/>
      <c r="J236" s="235"/>
      <c r="K236" s="243"/>
      <c r="L236" s="243"/>
      <c r="M236" s="243"/>
      <c r="N236" s="252"/>
    </row>
    <row r="237" spans="1:14" ht="38.25">
      <c r="A237" s="259" t="s">
        <v>270</v>
      </c>
      <c r="B237" s="229" t="s">
        <v>853</v>
      </c>
      <c r="C237" s="266" t="s">
        <v>189</v>
      </c>
      <c r="D237" s="372">
        <v>1900.2</v>
      </c>
      <c r="E237" s="385">
        <v>5.9126099999999999</v>
      </c>
      <c r="F237" s="235">
        <f t="shared" si="33"/>
        <v>11235.141522</v>
      </c>
      <c r="G237" s="247"/>
      <c r="H237" s="267"/>
      <c r="I237" s="236"/>
      <c r="J237" s="235"/>
      <c r="K237" s="243"/>
      <c r="L237" s="243"/>
      <c r="M237" s="243"/>
      <c r="N237" s="252"/>
    </row>
    <row r="238" spans="1:14" ht="38.25">
      <c r="A238" s="259" t="s">
        <v>272</v>
      </c>
      <c r="B238" s="229" t="s">
        <v>854</v>
      </c>
      <c r="C238" s="266" t="s">
        <v>189</v>
      </c>
      <c r="D238" s="372">
        <v>112.2</v>
      </c>
      <c r="E238" s="385">
        <v>8.9226500000000009</v>
      </c>
      <c r="F238" s="235">
        <f t="shared" si="33"/>
        <v>1001.1213300000002</v>
      </c>
      <c r="G238" s="247"/>
      <c r="H238" s="267"/>
      <c r="I238" s="236"/>
      <c r="J238" s="235"/>
      <c r="K238" s="243"/>
      <c r="L238" s="243"/>
      <c r="M238" s="243"/>
      <c r="N238" s="252"/>
    </row>
    <row r="239" spans="1:14" ht="38.25">
      <c r="A239" s="259" t="s">
        <v>274</v>
      </c>
      <c r="B239" s="229" t="s">
        <v>855</v>
      </c>
      <c r="C239" s="266" t="s">
        <v>189</v>
      </c>
      <c r="D239" s="372">
        <v>449.1</v>
      </c>
      <c r="E239" s="385">
        <v>6.5898700000000003</v>
      </c>
      <c r="F239" s="235">
        <f t="shared" si="33"/>
        <v>2959.5106170000004</v>
      </c>
      <c r="G239" s="267">
        <v>449.1</v>
      </c>
      <c r="H239" s="267"/>
      <c r="I239" s="267">
        <v>449.1</v>
      </c>
      <c r="J239" s="235"/>
      <c r="K239" s="270">
        <f>E239*G239</f>
        <v>2959.5106170000004</v>
      </c>
      <c r="L239" s="274"/>
      <c r="M239" s="274">
        <f>E239*I239</f>
        <v>2959.5106170000004</v>
      </c>
      <c r="N239" s="252"/>
    </row>
    <row r="240" spans="1:14" ht="38.25">
      <c r="A240" s="259" t="s">
        <v>276</v>
      </c>
      <c r="B240" s="229" t="s">
        <v>856</v>
      </c>
      <c r="C240" s="266" t="s">
        <v>189</v>
      </c>
      <c r="D240" s="372">
        <v>76.099999999999994</v>
      </c>
      <c r="E240" s="385">
        <v>8.4604999999999997</v>
      </c>
      <c r="F240" s="235">
        <f t="shared" si="33"/>
        <v>643.84404999999992</v>
      </c>
      <c r="G240" s="267">
        <v>76.099999999999994</v>
      </c>
      <c r="H240" s="267"/>
      <c r="I240" s="267">
        <v>76.099999999999994</v>
      </c>
      <c r="J240" s="235"/>
      <c r="K240" s="270">
        <f t="shared" ref="K240:K252" si="34">E240*G240</f>
        <v>643.84404999999992</v>
      </c>
      <c r="L240" s="274"/>
      <c r="M240" s="274">
        <f t="shared" ref="M240:M243" si="35">E240*I240</f>
        <v>643.84404999999992</v>
      </c>
      <c r="N240" s="252"/>
    </row>
    <row r="241" spans="1:14" ht="38.25">
      <c r="A241" s="259" t="s">
        <v>278</v>
      </c>
      <c r="B241" s="229" t="s">
        <v>857</v>
      </c>
      <c r="C241" s="266" t="s">
        <v>189</v>
      </c>
      <c r="D241" s="372">
        <v>261.5</v>
      </c>
      <c r="E241" s="385">
        <v>8.6753999999999998</v>
      </c>
      <c r="F241" s="235">
        <f t="shared" si="33"/>
        <v>2268.6170999999999</v>
      </c>
      <c r="G241" s="267">
        <v>261.5</v>
      </c>
      <c r="H241" s="267"/>
      <c r="I241" s="267">
        <v>261.5</v>
      </c>
      <c r="J241" s="235"/>
      <c r="K241" s="270">
        <f t="shared" si="34"/>
        <v>2268.6170999999999</v>
      </c>
      <c r="L241" s="274"/>
      <c r="M241" s="274">
        <f t="shared" si="35"/>
        <v>2268.6170999999999</v>
      </c>
      <c r="N241" s="252"/>
    </row>
    <row r="242" spans="1:14" s="262" customFormat="1" ht="38.25">
      <c r="A242" s="259" t="s">
        <v>280</v>
      </c>
      <c r="B242" s="229" t="s">
        <v>858</v>
      </c>
      <c r="C242" s="266" t="s">
        <v>189</v>
      </c>
      <c r="D242" s="372">
        <v>42.1</v>
      </c>
      <c r="E242" s="385">
        <v>11.1587</v>
      </c>
      <c r="F242" s="235">
        <f t="shared" si="33"/>
        <v>469.78127000000001</v>
      </c>
      <c r="G242" s="267">
        <v>42.1</v>
      </c>
      <c r="H242" s="267"/>
      <c r="I242" s="267">
        <v>42.1</v>
      </c>
      <c r="J242" s="235"/>
      <c r="K242" s="270">
        <f t="shared" si="34"/>
        <v>469.78127000000001</v>
      </c>
      <c r="L242" s="274"/>
      <c r="M242" s="274">
        <f t="shared" si="35"/>
        <v>469.78127000000001</v>
      </c>
      <c r="N242" s="261"/>
    </row>
    <row r="243" spans="1:14" s="262" customFormat="1" ht="38.25">
      <c r="A243" s="259" t="s">
        <v>283</v>
      </c>
      <c r="B243" s="229" t="s">
        <v>859</v>
      </c>
      <c r="C243" s="266" t="s">
        <v>189</v>
      </c>
      <c r="D243" s="372">
        <v>6.2</v>
      </c>
      <c r="E243" s="385">
        <v>13.223000000000001</v>
      </c>
      <c r="F243" s="235">
        <f t="shared" si="33"/>
        <v>81.982600000000005</v>
      </c>
      <c r="G243" s="267">
        <v>6.2</v>
      </c>
      <c r="H243" s="267"/>
      <c r="I243" s="267">
        <v>6.2</v>
      </c>
      <c r="J243" s="235"/>
      <c r="K243" s="270">
        <f t="shared" si="34"/>
        <v>81.982600000000005</v>
      </c>
      <c r="L243" s="274"/>
      <c r="M243" s="274">
        <f t="shared" si="35"/>
        <v>81.982600000000005</v>
      </c>
      <c r="N243" s="261"/>
    </row>
    <row r="244" spans="1:14" s="262" customFormat="1" ht="25.5">
      <c r="A244" s="259" t="s">
        <v>286</v>
      </c>
      <c r="B244" s="229" t="s">
        <v>860</v>
      </c>
      <c r="C244" s="266" t="s">
        <v>152</v>
      </c>
      <c r="D244" s="372">
        <v>4</v>
      </c>
      <c r="E244" s="385">
        <v>46.677999999999997</v>
      </c>
      <c r="F244" s="235">
        <f t="shared" si="33"/>
        <v>186.71199999999999</v>
      </c>
      <c r="G244" s="247"/>
      <c r="H244" s="267"/>
      <c r="I244" s="236"/>
      <c r="J244" s="235"/>
      <c r="K244" s="270"/>
      <c r="L244" s="265"/>
      <c r="M244" s="265"/>
      <c r="N244" s="261"/>
    </row>
    <row r="245" spans="1:14" s="262" customFormat="1" ht="25.5">
      <c r="A245" s="259" t="s">
        <v>289</v>
      </c>
      <c r="B245" s="229" t="s">
        <v>861</v>
      </c>
      <c r="C245" s="266" t="s">
        <v>152</v>
      </c>
      <c r="D245" s="372">
        <v>219</v>
      </c>
      <c r="E245" s="385">
        <v>1.89205</v>
      </c>
      <c r="F245" s="235">
        <f t="shared" si="33"/>
        <v>414.35894999999999</v>
      </c>
      <c r="G245" s="247"/>
      <c r="H245" s="267"/>
      <c r="I245" s="236"/>
      <c r="J245" s="235"/>
      <c r="K245" s="270"/>
      <c r="L245" s="265"/>
      <c r="M245" s="265"/>
      <c r="N245" s="261"/>
    </row>
    <row r="246" spans="1:14" s="262" customFormat="1" ht="25.5">
      <c r="A246" s="259" t="s">
        <v>292</v>
      </c>
      <c r="B246" s="229" t="s">
        <v>862</v>
      </c>
      <c r="C246" s="266" t="s">
        <v>152</v>
      </c>
      <c r="D246" s="372">
        <v>39</v>
      </c>
      <c r="E246" s="385">
        <v>2.0318000000000001</v>
      </c>
      <c r="F246" s="235">
        <f t="shared" si="33"/>
        <v>79.240200000000002</v>
      </c>
      <c r="G246" s="247"/>
      <c r="H246" s="267"/>
      <c r="I246" s="236"/>
      <c r="J246" s="235"/>
      <c r="K246" s="270"/>
      <c r="L246" s="265"/>
      <c r="M246" s="265"/>
      <c r="N246" s="261"/>
    </row>
    <row r="247" spans="1:14" s="262" customFormat="1" ht="25.5">
      <c r="A247" s="259" t="s">
        <v>295</v>
      </c>
      <c r="B247" s="229" t="s">
        <v>863</v>
      </c>
      <c r="C247" s="266" t="s">
        <v>152</v>
      </c>
      <c r="D247" s="372">
        <v>6</v>
      </c>
      <c r="E247" s="385">
        <v>3.3</v>
      </c>
      <c r="F247" s="235">
        <f t="shared" si="33"/>
        <v>19.799999999999997</v>
      </c>
      <c r="G247" s="247"/>
      <c r="H247" s="267"/>
      <c r="I247" s="236"/>
      <c r="J247" s="235"/>
      <c r="K247" s="270"/>
      <c r="L247" s="265"/>
      <c r="M247" s="265"/>
      <c r="N247" s="261"/>
    </row>
    <row r="248" spans="1:14" s="262" customFormat="1" ht="25.5">
      <c r="A248" s="259" t="s">
        <v>298</v>
      </c>
      <c r="B248" s="229" t="s">
        <v>864</v>
      </c>
      <c r="C248" s="266" t="s">
        <v>152</v>
      </c>
      <c r="D248" s="372">
        <v>81</v>
      </c>
      <c r="E248" s="385">
        <v>8.0518000000000001</v>
      </c>
      <c r="F248" s="235">
        <f t="shared" si="33"/>
        <v>652.19579999999996</v>
      </c>
      <c r="G248" s="247">
        <v>69</v>
      </c>
      <c r="H248" s="267"/>
      <c r="I248" s="274">
        <v>69</v>
      </c>
      <c r="J248" s="268"/>
      <c r="K248" s="270">
        <f t="shared" si="34"/>
        <v>555.57420000000002</v>
      </c>
      <c r="L248" s="274"/>
      <c r="M248" s="274">
        <f>E248*I248</f>
        <v>555.57420000000002</v>
      </c>
      <c r="N248" s="261"/>
    </row>
    <row r="249" spans="1:14" ht="38.25">
      <c r="A249" s="259" t="s">
        <v>301</v>
      </c>
      <c r="B249" s="229" t="s">
        <v>865</v>
      </c>
      <c r="C249" s="266" t="s">
        <v>152</v>
      </c>
      <c r="D249" s="372">
        <v>127</v>
      </c>
      <c r="E249" s="385">
        <v>17.7378</v>
      </c>
      <c r="F249" s="235">
        <f t="shared" si="33"/>
        <v>2252.7006000000001</v>
      </c>
      <c r="G249" s="247"/>
      <c r="H249" s="267"/>
      <c r="I249" s="236"/>
      <c r="J249" s="235"/>
      <c r="K249" s="270"/>
      <c r="L249" s="243"/>
      <c r="M249" s="243"/>
      <c r="N249" s="252"/>
    </row>
    <row r="250" spans="1:14" ht="38.25">
      <c r="A250" s="259" t="s">
        <v>304</v>
      </c>
      <c r="B250" s="229" t="s">
        <v>866</v>
      </c>
      <c r="C250" s="266" t="s">
        <v>152</v>
      </c>
      <c r="D250" s="372">
        <v>29</v>
      </c>
      <c r="E250" s="385">
        <v>4.5045000000000002</v>
      </c>
      <c r="F250" s="235">
        <f t="shared" si="33"/>
        <v>130.63050000000001</v>
      </c>
      <c r="G250" s="247"/>
      <c r="H250" s="267"/>
      <c r="I250" s="236"/>
      <c r="J250" s="235"/>
      <c r="K250" s="270"/>
      <c r="L250" s="243"/>
      <c r="M250" s="243"/>
      <c r="N250" s="252"/>
    </row>
    <row r="251" spans="1:14" ht="38.25">
      <c r="A251" s="259" t="s">
        <v>307</v>
      </c>
      <c r="B251" s="229" t="s">
        <v>867</v>
      </c>
      <c r="C251" s="266" t="s">
        <v>152</v>
      </c>
      <c r="D251" s="372">
        <v>7</v>
      </c>
      <c r="E251" s="385">
        <v>5.9340000000000002</v>
      </c>
      <c r="F251" s="235">
        <f t="shared" si="33"/>
        <v>41.538000000000004</v>
      </c>
      <c r="G251" s="247"/>
      <c r="H251" s="267"/>
      <c r="I251" s="236"/>
      <c r="J251" s="235"/>
      <c r="K251" s="270"/>
      <c r="L251" s="243"/>
      <c r="M251" s="243"/>
      <c r="N251" s="252"/>
    </row>
    <row r="252" spans="1:14" ht="25.5">
      <c r="A252" s="259" t="s">
        <v>310</v>
      </c>
      <c r="B252" s="229" t="s">
        <v>868</v>
      </c>
      <c r="C252" s="266" t="s">
        <v>152</v>
      </c>
      <c r="D252" s="372">
        <v>1</v>
      </c>
      <c r="E252" s="385">
        <v>9.49</v>
      </c>
      <c r="F252" s="235">
        <f t="shared" si="33"/>
        <v>9.49</v>
      </c>
      <c r="G252" s="247">
        <v>1</v>
      </c>
      <c r="H252" s="267"/>
      <c r="I252" s="274">
        <v>1</v>
      </c>
      <c r="J252" s="235"/>
      <c r="K252" s="270">
        <f t="shared" si="34"/>
        <v>9.49</v>
      </c>
      <c r="L252" s="274"/>
      <c r="M252" s="274">
        <f>E252*I252</f>
        <v>9.49</v>
      </c>
      <c r="N252" s="252"/>
    </row>
    <row r="253" spans="1:14">
      <c r="A253" s="259" t="s">
        <v>312</v>
      </c>
      <c r="B253" s="229" t="s">
        <v>869</v>
      </c>
      <c r="C253" s="266" t="s">
        <v>152</v>
      </c>
      <c r="D253" s="376">
        <v>1</v>
      </c>
      <c r="E253" s="389">
        <f>3612.15*1.3126*0.79</f>
        <v>3745.6333911000006</v>
      </c>
      <c r="F253" s="235">
        <f>D253*E253</f>
        <v>3745.6333911000006</v>
      </c>
      <c r="G253" s="247"/>
      <c r="H253" s="466"/>
      <c r="I253" s="236"/>
      <c r="J253" s="235"/>
      <c r="K253" s="243"/>
      <c r="L253" s="243"/>
      <c r="M253" s="243"/>
      <c r="N253" s="252"/>
    </row>
    <row r="254" spans="1:14" ht="8.1" customHeight="1">
      <c r="A254" s="484"/>
      <c r="B254" s="484"/>
      <c r="C254" s="484"/>
      <c r="D254" s="484"/>
      <c r="E254" s="484"/>
      <c r="F254" s="484"/>
      <c r="G254" s="484"/>
      <c r="H254" s="484"/>
      <c r="I254" s="484"/>
      <c r="J254" s="484"/>
      <c r="K254" s="484"/>
      <c r="L254" s="484"/>
      <c r="M254" s="484"/>
      <c r="N254" s="252"/>
    </row>
    <row r="255" spans="1:14" s="416" customFormat="1" ht="18" customHeight="1">
      <c r="A255" s="407" t="s">
        <v>870</v>
      </c>
      <c r="B255" s="481" t="s">
        <v>871</v>
      </c>
      <c r="C255" s="482"/>
      <c r="D255" s="482"/>
      <c r="E255" s="483"/>
      <c r="F255" s="408">
        <f>SUM(F256:F260)</f>
        <v>3582.9520000000002</v>
      </c>
      <c r="G255" s="409"/>
      <c r="H255" s="465"/>
      <c r="I255" s="410"/>
      <c r="J255" s="426"/>
      <c r="K255" s="446">
        <f>SUM(K256:K260)</f>
        <v>0</v>
      </c>
      <c r="L255" s="446">
        <f>SUM(L256:L260)</f>
        <v>0</v>
      </c>
      <c r="M255" s="446">
        <f>SUM(M256:M260)</f>
        <v>0</v>
      </c>
      <c r="N255" s="424"/>
    </row>
    <row r="256" spans="1:14" ht="31.5" customHeight="1">
      <c r="A256" s="259" t="s">
        <v>322</v>
      </c>
      <c r="B256" s="229" t="s">
        <v>872</v>
      </c>
      <c r="C256" s="266" t="s">
        <v>152</v>
      </c>
      <c r="D256" s="372">
        <v>4</v>
      </c>
      <c r="E256" s="385">
        <v>240.18</v>
      </c>
      <c r="F256" s="235">
        <f>E256*D256</f>
        <v>960.72</v>
      </c>
      <c r="G256" s="247"/>
      <c r="H256" s="267"/>
      <c r="I256" s="236"/>
      <c r="J256" s="235"/>
      <c r="K256" s="243"/>
      <c r="L256" s="243"/>
      <c r="M256" s="243"/>
      <c r="N256" s="252"/>
    </row>
    <row r="257" spans="1:15" ht="25.5">
      <c r="A257" s="259" t="s">
        <v>324</v>
      </c>
      <c r="B257" s="229" t="s">
        <v>873</v>
      </c>
      <c r="C257" s="266" t="s">
        <v>152</v>
      </c>
      <c r="D257" s="372">
        <v>4</v>
      </c>
      <c r="E257" s="385">
        <v>272.42</v>
      </c>
      <c r="F257" s="235">
        <f>E257*D257</f>
        <v>1089.68</v>
      </c>
      <c r="G257" s="247"/>
      <c r="H257" s="267"/>
      <c r="I257" s="236"/>
      <c r="J257" s="235"/>
      <c r="K257" s="243"/>
      <c r="L257" s="243"/>
      <c r="M257" s="243"/>
      <c r="N257" s="252"/>
    </row>
    <row r="258" spans="1:15" ht="41.25" customHeight="1">
      <c r="A258" s="259" t="s">
        <v>326</v>
      </c>
      <c r="B258" s="229" t="s">
        <v>874</v>
      </c>
      <c r="C258" s="266" t="s">
        <v>152</v>
      </c>
      <c r="D258" s="372">
        <v>20</v>
      </c>
      <c r="E258" s="385">
        <v>32.627000000000002</v>
      </c>
      <c r="F258" s="235">
        <f>E258*D258</f>
        <v>652.54000000000008</v>
      </c>
      <c r="G258" s="247"/>
      <c r="H258" s="267"/>
      <c r="I258" s="236"/>
      <c r="J258" s="235"/>
      <c r="K258" s="243"/>
      <c r="L258" s="243"/>
      <c r="M258" s="243"/>
      <c r="N258" s="252"/>
      <c r="O258" s="376"/>
    </row>
    <row r="259" spans="1:15" ht="25.5">
      <c r="A259" s="259" t="s">
        <v>328</v>
      </c>
      <c r="B259" s="229" t="s">
        <v>875</v>
      </c>
      <c r="C259" s="266" t="s">
        <v>152</v>
      </c>
      <c r="D259" s="372">
        <v>4</v>
      </c>
      <c r="E259" s="385">
        <v>64.878</v>
      </c>
      <c r="F259" s="235">
        <f>E259*D259</f>
        <v>259.512</v>
      </c>
      <c r="G259" s="247"/>
      <c r="H259" s="267"/>
      <c r="I259" s="236"/>
      <c r="J259" s="235"/>
      <c r="K259" s="243"/>
      <c r="L259" s="243"/>
      <c r="M259" s="243"/>
      <c r="N259" s="252"/>
    </row>
    <row r="260" spans="1:15">
      <c r="A260" s="259" t="s">
        <v>331</v>
      </c>
      <c r="B260" s="229" t="s">
        <v>876</v>
      </c>
      <c r="C260" s="266" t="s">
        <v>152</v>
      </c>
      <c r="D260" s="372">
        <v>20</v>
      </c>
      <c r="E260" s="385">
        <v>31.024999999999999</v>
      </c>
      <c r="F260" s="235">
        <f>E260*D260</f>
        <v>620.5</v>
      </c>
      <c r="G260" s="247"/>
      <c r="H260" s="267"/>
      <c r="I260" s="236"/>
      <c r="J260" s="235"/>
      <c r="K260" s="243"/>
      <c r="L260" s="243"/>
      <c r="M260" s="243"/>
      <c r="N260" s="252"/>
      <c r="O260" s="376"/>
    </row>
    <row r="261" spans="1:15" ht="8.1" customHeight="1">
      <c r="A261" s="484"/>
      <c r="B261" s="484"/>
      <c r="C261" s="484"/>
      <c r="D261" s="484"/>
      <c r="E261" s="484"/>
      <c r="F261" s="484"/>
      <c r="G261" s="484"/>
      <c r="H261" s="484"/>
      <c r="I261" s="484"/>
      <c r="J261" s="484"/>
      <c r="K261" s="484"/>
      <c r="L261" s="484"/>
      <c r="M261" s="484"/>
      <c r="N261" s="252"/>
    </row>
    <row r="262" spans="1:15" s="416" customFormat="1" ht="18" customHeight="1">
      <c r="A262" s="407" t="s">
        <v>877</v>
      </c>
      <c r="B262" s="481" t="s">
        <v>878</v>
      </c>
      <c r="C262" s="482"/>
      <c r="D262" s="482"/>
      <c r="E262" s="483"/>
      <c r="F262" s="408">
        <f>SUM(F263:F266)+0.01</f>
        <v>63929.633600800007</v>
      </c>
      <c r="G262" s="409"/>
      <c r="H262" s="465"/>
      <c r="I262" s="410"/>
      <c r="J262" s="426"/>
      <c r="K262" s="447">
        <f>SUM(K263:K266)</f>
        <v>45520.793722349998</v>
      </c>
      <c r="L262" s="447"/>
      <c r="M262" s="418">
        <f>SUM(M263:M266)</f>
        <v>45520.793722349998</v>
      </c>
      <c r="N262" s="424"/>
      <c r="O262" s="427"/>
    </row>
    <row r="263" spans="1:15" ht="38.25">
      <c r="A263" s="259" t="s">
        <v>367</v>
      </c>
      <c r="B263" s="229" t="s">
        <v>879</v>
      </c>
      <c r="C263" s="266" t="s">
        <v>60</v>
      </c>
      <c r="D263" s="372">
        <v>2353.1799999999998</v>
      </c>
      <c r="E263" s="385">
        <v>3.085305</v>
      </c>
      <c r="F263" s="235">
        <f>E263*D263</f>
        <v>7260.278019899999</v>
      </c>
      <c r="G263" s="247">
        <v>2352.7800000000002</v>
      </c>
      <c r="H263" s="247"/>
      <c r="I263" s="274">
        <f>1820.08+415.83+116.87</f>
        <v>2352.7799999999997</v>
      </c>
      <c r="J263" s="235"/>
      <c r="K263" s="274">
        <f>E263*G263</f>
        <v>7259.043897900001</v>
      </c>
      <c r="L263" s="274"/>
      <c r="M263" s="274">
        <f>E263*I263</f>
        <v>7259.0438978999991</v>
      </c>
      <c r="N263" s="255"/>
      <c r="O263" s="382"/>
    </row>
    <row r="264" spans="1:15" ht="63.75">
      <c r="A264" s="259" t="s">
        <v>370</v>
      </c>
      <c r="B264" s="229" t="s">
        <v>880</v>
      </c>
      <c r="C264" s="266" t="s">
        <v>60</v>
      </c>
      <c r="D264" s="372">
        <v>2102.38</v>
      </c>
      <c r="E264" s="385">
        <v>16.759554999999999</v>
      </c>
      <c r="F264" s="235">
        <f>E264*D264</f>
        <v>35234.953240900002</v>
      </c>
      <c r="G264" s="247">
        <v>2055.9899999999998</v>
      </c>
      <c r="H264" s="247"/>
      <c r="I264" s="274">
        <f>1930.18+125.81</f>
        <v>2055.9900000000002</v>
      </c>
      <c r="J264" s="235"/>
      <c r="K264" s="274">
        <f>E264*G264</f>
        <v>34457.477484449992</v>
      </c>
      <c r="L264" s="274"/>
      <c r="M264" s="274">
        <f>E264*I264</f>
        <v>34457.477484449999</v>
      </c>
      <c r="N264" s="252"/>
      <c r="O264" s="382"/>
    </row>
    <row r="265" spans="1:15" ht="51">
      <c r="A265" s="259" t="s">
        <v>372</v>
      </c>
      <c r="B265" s="229" t="s">
        <v>881</v>
      </c>
      <c r="C265" s="266" t="s">
        <v>60</v>
      </c>
      <c r="D265" s="372">
        <v>250.8</v>
      </c>
      <c r="E265" s="385">
        <v>70.3</v>
      </c>
      <c r="F265" s="235">
        <f>E265*D265-1.12</f>
        <v>17630.120000000003</v>
      </c>
      <c r="G265" s="247"/>
      <c r="H265" s="267"/>
      <c r="I265" s="236"/>
      <c r="J265" s="235"/>
      <c r="K265" s="236"/>
      <c r="L265" s="236"/>
      <c r="M265" s="236"/>
      <c r="N265" s="252"/>
    </row>
    <row r="266" spans="1:15" ht="63.75">
      <c r="A266" s="259" t="s">
        <v>374</v>
      </c>
      <c r="B266" s="229" t="s">
        <v>882</v>
      </c>
      <c r="C266" s="266" t="s">
        <v>60</v>
      </c>
      <c r="D266" s="372">
        <v>250.8</v>
      </c>
      <c r="E266" s="385">
        <v>15.16855</v>
      </c>
      <c r="F266" s="235">
        <f>E266*D266</f>
        <v>3804.27234</v>
      </c>
      <c r="G266" s="247">
        <v>250.8</v>
      </c>
      <c r="H266" s="267"/>
      <c r="I266" s="274">
        <v>250.8</v>
      </c>
      <c r="J266" s="235"/>
      <c r="K266" s="274">
        <f>E266*G266</f>
        <v>3804.27234</v>
      </c>
      <c r="L266" s="274"/>
      <c r="M266" s="274">
        <f>E266*I266</f>
        <v>3804.27234</v>
      </c>
      <c r="N266" s="252"/>
      <c r="O266" s="382"/>
    </row>
    <row r="267" spans="1:15" ht="8.1" customHeight="1">
      <c r="A267" s="484"/>
      <c r="B267" s="484"/>
      <c r="C267" s="484"/>
      <c r="D267" s="484"/>
      <c r="E267" s="484"/>
      <c r="F267" s="484"/>
      <c r="G267" s="484"/>
      <c r="H267" s="484"/>
      <c r="I267" s="484"/>
      <c r="J267" s="484"/>
      <c r="K267" s="484"/>
      <c r="L267" s="484"/>
      <c r="M267" s="484"/>
      <c r="N267" s="252"/>
    </row>
    <row r="268" spans="1:15" s="452" customFormat="1" ht="18" customHeight="1">
      <c r="A268" s="407" t="s">
        <v>883</v>
      </c>
      <c r="B268" s="481" t="s">
        <v>884</v>
      </c>
      <c r="C268" s="482"/>
      <c r="D268" s="482"/>
      <c r="E268" s="483"/>
      <c r="F268" s="414">
        <f>SUM(F269:F275)</f>
        <v>126942.87543969999</v>
      </c>
      <c r="G268" s="448"/>
      <c r="H268" s="448"/>
      <c r="I268" s="448"/>
      <c r="J268" s="449"/>
      <c r="K268" s="414">
        <f>SUM(K269:K274)</f>
        <v>11672.747619199999</v>
      </c>
      <c r="L268" s="450">
        <f>SUM(L269:L274)</f>
        <v>48619.511358200005</v>
      </c>
      <c r="M268" s="447">
        <f>SUM(M269:M274)</f>
        <v>60292.258977400001</v>
      </c>
      <c r="N268" s="451"/>
    </row>
    <row r="269" spans="1:15" ht="25.5">
      <c r="A269" s="259" t="s">
        <v>381</v>
      </c>
      <c r="B269" s="229" t="s">
        <v>885</v>
      </c>
      <c r="C269" s="266" t="s">
        <v>60</v>
      </c>
      <c r="D269" s="372">
        <v>470.34</v>
      </c>
      <c r="E269" s="385">
        <v>23.381679999999999</v>
      </c>
      <c r="F269" s="235">
        <f t="shared" ref="F269:F274" si="36">E269*D269</f>
        <v>10997.3393712</v>
      </c>
      <c r="G269" s="247">
        <v>418.44</v>
      </c>
      <c r="H269" s="267">
        <v>-3.26</v>
      </c>
      <c r="I269" s="274">
        <f>99.53+318.91-3.26</f>
        <v>415.18000000000006</v>
      </c>
      <c r="J269" s="235"/>
      <c r="K269" s="247">
        <f>E269*G269</f>
        <v>9783.8301792000002</v>
      </c>
      <c r="L269" s="292">
        <f>E269*H269</f>
        <v>-76.224276799999998</v>
      </c>
      <c r="M269" s="292">
        <f>E269*I269</f>
        <v>9707.6059024000006</v>
      </c>
      <c r="N269" s="252"/>
      <c r="O269" s="287"/>
    </row>
    <row r="270" spans="1:15" ht="25.5">
      <c r="A270" s="259" t="s">
        <v>384</v>
      </c>
      <c r="B270" s="229" t="s">
        <v>886</v>
      </c>
      <c r="C270" s="266" t="s">
        <v>60</v>
      </c>
      <c r="D270" s="372">
        <v>454.86</v>
      </c>
      <c r="E270" s="385">
        <v>117.28825000000001</v>
      </c>
      <c r="F270" s="235">
        <f t="shared" si="36"/>
        <v>53349.733395000003</v>
      </c>
      <c r="G270" s="247"/>
      <c r="H270" s="267">
        <v>415.18</v>
      </c>
      <c r="I270" s="274">
        <v>415.18</v>
      </c>
      <c r="J270" s="235"/>
      <c r="K270" s="247"/>
      <c r="L270" s="292">
        <f>E270*H270</f>
        <v>48695.735635000005</v>
      </c>
      <c r="M270" s="243">
        <f>E270*I270</f>
        <v>48695.735635000005</v>
      </c>
      <c r="N270" s="252"/>
    </row>
    <row r="271" spans="1:15" ht="38.25">
      <c r="A271" s="259" t="s">
        <v>387</v>
      </c>
      <c r="B271" s="229" t="s">
        <v>887</v>
      </c>
      <c r="C271" s="266" t="s">
        <v>60</v>
      </c>
      <c r="D271" s="372">
        <v>413.3</v>
      </c>
      <c r="E271" s="385">
        <v>54.58</v>
      </c>
      <c r="F271" s="235">
        <v>22559.08</v>
      </c>
      <c r="G271" s="247"/>
      <c r="H271" s="267"/>
      <c r="I271" s="236"/>
      <c r="J271" s="235"/>
      <c r="K271" s="247"/>
      <c r="L271" s="292"/>
      <c r="M271" s="243"/>
      <c r="N271" s="252"/>
    </row>
    <row r="272" spans="1:15" ht="38.25">
      <c r="A272" s="259" t="s">
        <v>389</v>
      </c>
      <c r="B272" s="229" t="s">
        <v>888</v>
      </c>
      <c r="C272" s="266" t="s">
        <v>81</v>
      </c>
      <c r="D272" s="372">
        <v>57.08</v>
      </c>
      <c r="E272" s="385">
        <v>590.2867</v>
      </c>
      <c r="F272" s="235">
        <f t="shared" si="36"/>
        <v>33693.564835999998</v>
      </c>
      <c r="G272" s="247">
        <v>3.2</v>
      </c>
      <c r="H272" s="267"/>
      <c r="I272" s="274">
        <v>3.2</v>
      </c>
      <c r="J272" s="235"/>
      <c r="K272" s="270">
        <f>E272*G272</f>
        <v>1888.9174400000002</v>
      </c>
      <c r="L272" s="292"/>
      <c r="M272" s="270">
        <f>E272*I272</f>
        <v>1888.9174400000002</v>
      </c>
      <c r="N272" s="252"/>
    </row>
    <row r="273" spans="1:14" ht="25.5">
      <c r="A273" s="259" t="s">
        <v>392</v>
      </c>
      <c r="B273" s="229" t="s">
        <v>889</v>
      </c>
      <c r="C273" s="266" t="s">
        <v>60</v>
      </c>
      <c r="D273" s="372">
        <v>5.71</v>
      </c>
      <c r="E273" s="385">
        <v>54.9328</v>
      </c>
      <c r="F273" s="235">
        <f t="shared" si="36"/>
        <v>313.66628800000001</v>
      </c>
      <c r="G273" s="247"/>
      <c r="H273" s="267"/>
      <c r="I273" s="236"/>
      <c r="J273" s="235"/>
      <c r="K273" s="243"/>
      <c r="L273" s="292"/>
      <c r="M273" s="243"/>
      <c r="N273" s="252"/>
    </row>
    <row r="274" spans="1:14" ht="63.75">
      <c r="A274" s="259" t="s">
        <v>395</v>
      </c>
      <c r="B274" s="229" t="s">
        <v>890</v>
      </c>
      <c r="C274" s="266" t="s">
        <v>189</v>
      </c>
      <c r="D274" s="372">
        <v>131.97</v>
      </c>
      <c r="E274" s="385">
        <v>45.68835</v>
      </c>
      <c r="F274" s="235">
        <f t="shared" si="36"/>
        <v>6029.4915494999996</v>
      </c>
      <c r="G274" s="247"/>
      <c r="H274" s="267"/>
      <c r="I274" s="236"/>
      <c r="J274" s="235"/>
      <c r="K274" s="243"/>
      <c r="L274" s="292"/>
      <c r="M274" s="243"/>
      <c r="N274" s="252"/>
    </row>
    <row r="275" spans="1:14" ht="8.1" customHeight="1">
      <c r="A275" s="484"/>
      <c r="B275" s="484"/>
      <c r="C275" s="484"/>
      <c r="D275" s="484"/>
      <c r="E275" s="484"/>
      <c r="F275" s="484"/>
      <c r="G275" s="484"/>
      <c r="H275" s="484"/>
      <c r="I275" s="484"/>
      <c r="J275" s="484"/>
      <c r="K275" s="484"/>
      <c r="L275" s="484"/>
      <c r="M275" s="484"/>
      <c r="N275" s="252"/>
    </row>
    <row r="276" spans="1:14" s="416" customFormat="1" ht="18" customHeight="1">
      <c r="A276" s="407" t="s">
        <v>891</v>
      </c>
      <c r="B276" s="481" t="s">
        <v>194</v>
      </c>
      <c r="C276" s="482"/>
      <c r="D276" s="482"/>
      <c r="E276" s="483"/>
      <c r="F276" s="408">
        <f>SUM(F277,F281)</f>
        <v>52294.937946000005</v>
      </c>
      <c r="G276" s="409"/>
      <c r="H276" s="465"/>
      <c r="I276" s="410"/>
      <c r="J276" s="426"/>
      <c r="K276" s="446">
        <f>SUM(K277:K280)</f>
        <v>0</v>
      </c>
      <c r="L276" s="450">
        <f>L277+L281</f>
        <v>6644.1467512499994</v>
      </c>
      <c r="M276" s="459">
        <f>M277+M281</f>
        <v>6644.1467512499994</v>
      </c>
      <c r="N276" s="424"/>
    </row>
    <row r="277" spans="1:14" s="307" customFormat="1" ht="18">
      <c r="A277" s="367" t="s">
        <v>459</v>
      </c>
      <c r="B277" s="478" t="s">
        <v>892</v>
      </c>
      <c r="C277" s="479"/>
      <c r="D277" s="479"/>
      <c r="E277" s="480"/>
      <c r="F277" s="313">
        <f>SUM(F278:F280)+0.01</f>
        <v>50172.677986000002</v>
      </c>
      <c r="G277" s="302"/>
      <c r="H277" s="474"/>
      <c r="I277" s="303"/>
      <c r="J277" s="314"/>
      <c r="K277" s="315">
        <f>SUM(K278:K280)</f>
        <v>0</v>
      </c>
      <c r="L277" s="456">
        <f>SUM(L278:L280)</f>
        <v>6644.1467512499994</v>
      </c>
      <c r="M277" s="460">
        <f>SUM(M278:M280)</f>
        <v>6644.1467512499994</v>
      </c>
      <c r="N277" s="281"/>
    </row>
    <row r="278" spans="1:14" ht="25.5">
      <c r="A278" s="259" t="s">
        <v>893</v>
      </c>
      <c r="B278" s="229" t="s">
        <v>894</v>
      </c>
      <c r="C278" s="259" t="s">
        <v>60</v>
      </c>
      <c r="D278" s="372">
        <v>2102.38</v>
      </c>
      <c r="E278" s="385">
        <v>2.2575400000000001</v>
      </c>
      <c r="F278" s="235">
        <f t="shared" ref="F278:F283" si="37">E278*D278</f>
        <v>4746.2069452000005</v>
      </c>
      <c r="G278" s="247"/>
      <c r="H278" s="267">
        <v>827.41</v>
      </c>
      <c r="I278" s="274">
        <v>827.41</v>
      </c>
      <c r="J278" s="235"/>
      <c r="K278" s="243"/>
      <c r="L278" s="270">
        <f>E278*H278</f>
        <v>1867.9111714000001</v>
      </c>
      <c r="M278" s="458">
        <f>E278*I278</f>
        <v>1867.9111714000001</v>
      </c>
      <c r="N278" s="252"/>
    </row>
    <row r="279" spans="1:14" ht="25.5">
      <c r="A279" s="259" t="s">
        <v>895</v>
      </c>
      <c r="B279" s="229" t="s">
        <v>896</v>
      </c>
      <c r="C279" s="266" t="s">
        <v>60</v>
      </c>
      <c r="D279" s="372">
        <v>2102.38</v>
      </c>
      <c r="E279" s="385">
        <v>10.896934999999999</v>
      </c>
      <c r="F279" s="235">
        <f>D279*E279</f>
        <v>22909.498205299999</v>
      </c>
      <c r="G279" s="247"/>
      <c r="H279" s="267">
        <v>438.31</v>
      </c>
      <c r="I279" s="274">
        <v>438.31</v>
      </c>
      <c r="J279" s="235"/>
      <c r="K279" s="243"/>
      <c r="L279" s="270">
        <f>E279*H279</f>
        <v>4776.2355798499993</v>
      </c>
      <c r="M279" s="458">
        <f t="shared" ref="M279" si="38">E279*I279</f>
        <v>4776.2355798499993</v>
      </c>
      <c r="N279" s="252"/>
    </row>
    <row r="280" spans="1:14" ht="25.5">
      <c r="A280" s="259" t="s">
        <v>897</v>
      </c>
      <c r="B280" s="229" t="s">
        <v>898</v>
      </c>
      <c r="C280" s="266" t="s">
        <v>60</v>
      </c>
      <c r="D280" s="372">
        <v>2102.38</v>
      </c>
      <c r="E280" s="385">
        <v>10.710224999999999</v>
      </c>
      <c r="F280" s="235">
        <f>D280*E280</f>
        <v>22516.962835499999</v>
      </c>
      <c r="G280" s="247"/>
      <c r="H280" s="267"/>
      <c r="I280" s="274"/>
      <c r="J280" s="235"/>
      <c r="K280" s="243"/>
      <c r="L280" s="270"/>
      <c r="M280" s="458"/>
      <c r="N280" s="252"/>
    </row>
    <row r="281" spans="1:14" s="307" customFormat="1" ht="18">
      <c r="A281" s="367" t="s">
        <v>461</v>
      </c>
      <c r="B281" s="478" t="s">
        <v>899</v>
      </c>
      <c r="C281" s="479"/>
      <c r="D281" s="479"/>
      <c r="E281" s="480"/>
      <c r="F281" s="301">
        <f>SUM(F282:F283)</f>
        <v>2122.2599600000003</v>
      </c>
      <c r="G281" s="302"/>
      <c r="H281" s="473"/>
      <c r="I281" s="457"/>
      <c r="J281" s="304"/>
      <c r="K281" s="315">
        <f>SUM(K282:K283)</f>
        <v>0</v>
      </c>
      <c r="L281" s="270"/>
      <c r="M281" s="458"/>
      <c r="N281" s="281"/>
    </row>
    <row r="282" spans="1:14" ht="25.5">
      <c r="A282" s="259" t="s">
        <v>900</v>
      </c>
      <c r="B282" s="229" t="s">
        <v>901</v>
      </c>
      <c r="C282" s="266" t="s">
        <v>60</v>
      </c>
      <c r="D282" s="372">
        <v>6.12</v>
      </c>
      <c r="E282" s="385">
        <v>21.736999999999998</v>
      </c>
      <c r="F282" s="235">
        <f t="shared" si="37"/>
        <v>133.03044</v>
      </c>
      <c r="G282" s="247"/>
      <c r="H282" s="267"/>
      <c r="I282" s="274"/>
      <c r="J282" s="235"/>
      <c r="K282" s="243"/>
      <c r="L282" s="270"/>
      <c r="M282" s="458"/>
      <c r="N282" s="252"/>
    </row>
    <row r="283" spans="1:14">
      <c r="A283" s="259" t="s">
        <v>900</v>
      </c>
      <c r="B283" s="229" t="s">
        <v>902</v>
      </c>
      <c r="C283" s="266" t="s">
        <v>60</v>
      </c>
      <c r="D283" s="372">
        <v>136.16</v>
      </c>
      <c r="E283" s="385">
        <v>14.609500000000001</v>
      </c>
      <c r="F283" s="235">
        <f t="shared" si="37"/>
        <v>1989.2295200000001</v>
      </c>
      <c r="G283" s="247"/>
      <c r="H283" s="267"/>
      <c r="I283" s="274"/>
      <c r="J283" s="235"/>
      <c r="K283" s="243"/>
      <c r="L283" s="270"/>
      <c r="M283" s="458"/>
      <c r="N283" s="252"/>
    </row>
    <row r="284" spans="1:14" ht="8.1" customHeight="1">
      <c r="A284" s="484"/>
      <c r="B284" s="484"/>
      <c r="C284" s="484"/>
      <c r="D284" s="484"/>
      <c r="E284" s="484"/>
      <c r="F284" s="484"/>
      <c r="G284" s="484"/>
      <c r="H284" s="484"/>
      <c r="I284" s="484"/>
      <c r="J284" s="484"/>
      <c r="K284" s="484"/>
      <c r="L284" s="484"/>
      <c r="M284" s="484"/>
      <c r="N284" s="252"/>
    </row>
    <row r="285" spans="1:14" s="416" customFormat="1" ht="18" customHeight="1">
      <c r="A285" s="407" t="s">
        <v>903</v>
      </c>
      <c r="B285" s="481" t="s">
        <v>904</v>
      </c>
      <c r="C285" s="482"/>
      <c r="D285" s="482"/>
      <c r="E285" s="483"/>
      <c r="F285" s="408">
        <f>SUM(F286:F288)+0.01</f>
        <v>2050.7917054999998</v>
      </c>
      <c r="G285" s="409"/>
      <c r="H285" s="465"/>
      <c r="I285" s="410"/>
      <c r="J285" s="426"/>
      <c r="K285" s="446">
        <f>SUM(K286:K288)</f>
        <v>0</v>
      </c>
      <c r="L285" s="446">
        <f>SUM(L286:L288)</f>
        <v>0</v>
      </c>
      <c r="M285" s="453">
        <f>SUM(M286:M288)</f>
        <v>0</v>
      </c>
      <c r="N285" s="424"/>
    </row>
    <row r="286" spans="1:14">
      <c r="A286" s="259" t="s">
        <v>472</v>
      </c>
      <c r="B286" s="229" t="s">
        <v>905</v>
      </c>
      <c r="C286" s="266" t="s">
        <v>81</v>
      </c>
      <c r="D286" s="377">
        <v>27.81</v>
      </c>
      <c r="E286" s="385">
        <v>20.683299999999999</v>
      </c>
      <c r="F286" s="235">
        <f>E286*D286</f>
        <v>575.20257299999992</v>
      </c>
      <c r="G286" s="247"/>
      <c r="H286" s="267"/>
      <c r="I286" s="236"/>
      <c r="J286" s="235"/>
      <c r="K286" s="243"/>
      <c r="L286" s="243"/>
      <c r="M286" s="229"/>
      <c r="N286" s="252"/>
    </row>
    <row r="287" spans="1:14" ht="25.5">
      <c r="A287" s="259" t="s">
        <v>475</v>
      </c>
      <c r="B287" s="229" t="s">
        <v>906</v>
      </c>
      <c r="C287" s="266" t="s">
        <v>152</v>
      </c>
      <c r="D287" s="377">
        <v>2</v>
      </c>
      <c r="E287" s="385">
        <v>208.13489999999999</v>
      </c>
      <c r="F287" s="235">
        <f>E287*D287</f>
        <v>416.26979999999998</v>
      </c>
      <c r="G287" s="247"/>
      <c r="H287" s="267"/>
      <c r="I287" s="236"/>
      <c r="J287" s="235"/>
      <c r="K287" s="243"/>
      <c r="L287" s="243"/>
      <c r="M287" s="229"/>
      <c r="N287" s="252"/>
    </row>
    <row r="288" spans="1:14">
      <c r="A288" s="259" t="s">
        <v>477</v>
      </c>
      <c r="B288" s="229" t="s">
        <v>907</v>
      </c>
      <c r="C288" s="266" t="s">
        <v>81</v>
      </c>
      <c r="D288" s="377">
        <v>502.75</v>
      </c>
      <c r="E288" s="385">
        <v>2.10703</v>
      </c>
      <c r="F288" s="235">
        <f>E288*D288</f>
        <v>1059.3093325</v>
      </c>
      <c r="G288" s="247"/>
      <c r="H288" s="267"/>
      <c r="I288" s="236"/>
      <c r="J288" s="235"/>
      <c r="K288" s="243"/>
      <c r="L288" s="243"/>
      <c r="M288" s="229"/>
      <c r="N288" s="252"/>
    </row>
    <row r="289" spans="1:15" ht="8.1" customHeight="1">
      <c r="A289" s="484"/>
      <c r="B289" s="484"/>
      <c r="C289" s="484"/>
      <c r="D289" s="484"/>
      <c r="E289" s="484"/>
      <c r="F289" s="484"/>
      <c r="G289" s="484"/>
      <c r="H289" s="484"/>
      <c r="I289" s="484"/>
      <c r="J289" s="484"/>
      <c r="K289" s="484"/>
      <c r="L289" s="484"/>
      <c r="M289" s="484"/>
      <c r="N289" s="252"/>
    </row>
    <row r="290" spans="1:15" ht="24.95" customHeight="1">
      <c r="A290" s="487" t="s">
        <v>908</v>
      </c>
      <c r="B290" s="488"/>
      <c r="C290" s="488"/>
      <c r="D290" s="488"/>
      <c r="E290" s="488"/>
      <c r="F290" s="488"/>
      <c r="G290" s="488"/>
      <c r="H290" s="488"/>
      <c r="I290" s="488"/>
      <c r="J290" s="488"/>
      <c r="K290" s="489"/>
      <c r="L290" s="289">
        <f>SUM(L285,L276,L268,L262,L255,L215,L178,L140,L126,L122,L110,L107,L60,L29,L24,L17)</f>
        <v>134788.82428545001</v>
      </c>
      <c r="M290" s="290">
        <f>SUM(M285,M276,M268,M262,M255,M215,M178,M140,M126,M122,M110,M107,M60,M29,M24,M17)</f>
        <v>560174.45490989997</v>
      </c>
      <c r="N290" s="293"/>
      <c r="O290" s="366"/>
    </row>
    <row r="291" spans="1:15">
      <c r="L291" s="238"/>
    </row>
    <row r="295" spans="1:15" ht="30" customHeight="1">
      <c r="F295" s="406"/>
      <c r="H295" s="477"/>
      <c r="M295" s="300"/>
    </row>
    <row r="296" spans="1:15">
      <c r="F296" s="406"/>
      <c r="M296" s="316"/>
    </row>
    <row r="297" spans="1:15">
      <c r="F297" s="406"/>
      <c r="M297" s="286"/>
    </row>
    <row r="298" spans="1:15" ht="24.75" customHeight="1">
      <c r="F298" s="406"/>
      <c r="H298" s="477"/>
      <c r="M298" s="253"/>
    </row>
  </sheetData>
  <mergeCells count="96">
    <mergeCell ref="B122:E122"/>
    <mergeCell ref="B126:E126"/>
    <mergeCell ref="B98:E98"/>
    <mergeCell ref="B107:E107"/>
    <mergeCell ref="B110:E110"/>
    <mergeCell ref="A106:M106"/>
    <mergeCell ref="A109:M109"/>
    <mergeCell ref="A125:M125"/>
    <mergeCell ref="A72:M72"/>
    <mergeCell ref="A74:M74"/>
    <mergeCell ref="A87:M87"/>
    <mergeCell ref="B116:E116"/>
    <mergeCell ref="B119:E119"/>
    <mergeCell ref="A25:M25"/>
    <mergeCell ref="B31:E31"/>
    <mergeCell ref="B268:E268"/>
    <mergeCell ref="A97:M97"/>
    <mergeCell ref="A99:M99"/>
    <mergeCell ref="A28:M28"/>
    <mergeCell ref="A59:M59"/>
    <mergeCell ref="B178:E178"/>
    <mergeCell ref="A30:M30"/>
    <mergeCell ref="A32:M32"/>
    <mergeCell ref="A47:M47"/>
    <mergeCell ref="A49:M49"/>
    <mergeCell ref="A51:M51"/>
    <mergeCell ref="A53:M53"/>
    <mergeCell ref="A61:M61"/>
    <mergeCell ref="A63:M63"/>
    <mergeCell ref="A13:F13"/>
    <mergeCell ref="A14:B14"/>
    <mergeCell ref="A23:M23"/>
    <mergeCell ref="A11:E11"/>
    <mergeCell ref="A12:E12"/>
    <mergeCell ref="L11:M11"/>
    <mergeCell ref="L12:M12"/>
    <mergeCell ref="L13:M13"/>
    <mergeCell ref="K14:M14"/>
    <mergeCell ref="G14:I14"/>
    <mergeCell ref="C14:F14"/>
    <mergeCell ref="G13:K13"/>
    <mergeCell ref="A16:M16"/>
    <mergeCell ref="A18:M18"/>
    <mergeCell ref="B17:E17"/>
    <mergeCell ref="A2:C2"/>
    <mergeCell ref="A3:C3"/>
    <mergeCell ref="A7:E7"/>
    <mergeCell ref="A8:E8"/>
    <mergeCell ref="A9:E9"/>
    <mergeCell ref="A10:E10"/>
    <mergeCell ref="A6:M6"/>
    <mergeCell ref="H10:K10"/>
    <mergeCell ref="F11:K11"/>
    <mergeCell ref="F12:K12"/>
    <mergeCell ref="L9:M9"/>
    <mergeCell ref="L8:M8"/>
    <mergeCell ref="L7:M7"/>
    <mergeCell ref="H7:K7"/>
    <mergeCell ref="H8:K8"/>
    <mergeCell ref="H9:K9"/>
    <mergeCell ref="L10:M10"/>
    <mergeCell ref="A284:M284"/>
    <mergeCell ref="A290:K290"/>
    <mergeCell ref="A289:M289"/>
    <mergeCell ref="B285:E285"/>
    <mergeCell ref="B281:E281"/>
    <mergeCell ref="A139:M139"/>
    <mergeCell ref="A177:M177"/>
    <mergeCell ref="A85:M85"/>
    <mergeCell ref="B24:E24"/>
    <mergeCell ref="B29:E29"/>
    <mergeCell ref="B48:E48"/>
    <mergeCell ref="B111:E111"/>
    <mergeCell ref="B62:E62"/>
    <mergeCell ref="B73:E73"/>
    <mergeCell ref="B86:E86"/>
    <mergeCell ref="B127:E127"/>
    <mergeCell ref="B136:E136"/>
    <mergeCell ref="B140:E140"/>
    <mergeCell ref="A121:M121"/>
    <mergeCell ref="B52:E52"/>
    <mergeCell ref="B60:E60"/>
    <mergeCell ref="B277:E277"/>
    <mergeCell ref="B276:E276"/>
    <mergeCell ref="A267:M267"/>
    <mergeCell ref="A275:M275"/>
    <mergeCell ref="B179:E179"/>
    <mergeCell ref="B194:E194"/>
    <mergeCell ref="B200:E200"/>
    <mergeCell ref="B210:E210"/>
    <mergeCell ref="B262:E262"/>
    <mergeCell ref="B255:E255"/>
    <mergeCell ref="B215:E215"/>
    <mergeCell ref="A214:M214"/>
    <mergeCell ref="A254:M254"/>
    <mergeCell ref="A261:M261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PLAN. ORÇAMENTO</vt:lpstr>
      <vt:lpstr>MEMÓRIA MED 9</vt:lpstr>
      <vt:lpstr>RESUMO MEDIÇÃO</vt:lpstr>
      <vt:lpstr>BM 09</vt:lpstr>
      <vt:lpstr>'BM 09'!Area_de_impressao</vt:lpstr>
      <vt:lpstr>'MEMÓRIA MED 9'!Area_de_impressao</vt:lpstr>
      <vt:lpstr>'PLAN. ORÇAMENTO'!Area_de_impressao</vt:lpstr>
      <vt:lpstr>'RESUMO MEDIÇÃO'!Area_de_impressao</vt:lpstr>
      <vt:lpstr>'BM 09'!Titulos_de_impressao</vt:lpstr>
      <vt:lpstr>'PLAN. ORÇAMENTO'!Titulos_de_impressao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Feitosa</dc:creator>
  <cp:lastModifiedBy>usuário</cp:lastModifiedBy>
  <cp:lastPrinted>2023-08-25T13:31:21Z</cp:lastPrinted>
  <dcterms:created xsi:type="dcterms:W3CDTF">2016-07-06T18:05:12Z</dcterms:created>
  <dcterms:modified xsi:type="dcterms:W3CDTF">2024-08-22T13:21:39Z</dcterms:modified>
</cp:coreProperties>
</file>