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MEDIÇÕES DA UBS COMERCIAL NORTE\"/>
    </mc:Choice>
  </mc:AlternateContent>
  <xr:revisionPtr revIDLastSave="0" documentId="8_{F17CF828-4E9C-433F-A392-693D43268D5F}" xr6:coauthVersionLast="47" xr6:coauthVersionMax="47" xr10:uidLastSave="{00000000-0000-0000-0000-000000000000}"/>
  <bookViews>
    <workbookView xWindow="-120" yWindow="-120" windowWidth="21840" windowHeight="13140" firstSheet="3" activeTab="3" xr2:uid="{00000000-000D-0000-FFFF-FFFF00000000}"/>
  </bookViews>
  <sheets>
    <sheet name="PLAN. ORÇAMENTO" sheetId="1" state="hidden" r:id="rId1"/>
    <sheet name="MEMÓRIA MED 9" sheetId="2" state="hidden" r:id="rId2"/>
    <sheet name="RESUMO MEDIÇÃO" sheetId="3" state="hidden" r:id="rId3"/>
    <sheet name="BM 09" sheetId="5" r:id="rId4"/>
  </sheets>
  <definedNames>
    <definedName name="_xlnm._FilterDatabase" localSheetId="0" hidden="1">'PLAN. ORÇAMENTO'!$A$25:$AB$239</definedName>
    <definedName name="_xlnm.Print_Area" localSheetId="3">'BM 09'!$A$1:$M$290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09'!$1:$15</definedName>
    <definedName name="_xlnm.Print_Titles" localSheetId="0">'PLAN. ORÇAMENTO'!$1:$25</definedName>
  </definedNames>
  <calcPr calcId="191029" iterate="1"/>
</workbook>
</file>

<file path=xl/calcChain.xml><?xml version="1.0" encoding="utf-8"?>
<calcChain xmlns="http://schemas.openxmlformats.org/spreadsheetml/2006/main">
  <c r="K133" i="5" l="1"/>
  <c r="M225" i="5" l="1"/>
  <c r="M222" i="5"/>
  <c r="L222" i="5"/>
  <c r="M223" i="5"/>
  <c r="L223" i="5"/>
  <c r="L225" i="5"/>
  <c r="M227" i="5"/>
  <c r="M229" i="5"/>
  <c r="M230" i="5"/>
  <c r="M231" i="5"/>
  <c r="M232" i="5"/>
  <c r="M233" i="5"/>
  <c r="M234" i="5"/>
  <c r="L227" i="5"/>
  <c r="L229" i="5"/>
  <c r="L230" i="5"/>
  <c r="L231" i="5"/>
  <c r="L232" i="5"/>
  <c r="L233" i="5"/>
  <c r="L234" i="5"/>
  <c r="M236" i="5"/>
  <c r="M237" i="5"/>
  <c r="M235" i="5"/>
  <c r="L236" i="5"/>
  <c r="L237" i="5"/>
  <c r="L235" i="5"/>
  <c r="K163" i="5"/>
  <c r="K152" i="5"/>
  <c r="M218" i="5"/>
  <c r="L218" i="5"/>
  <c r="L215" i="5" s="1"/>
  <c r="I67" i="5"/>
  <c r="K270" i="5"/>
  <c r="K269" i="5"/>
  <c r="I269" i="5"/>
  <c r="I272" i="5"/>
  <c r="I278" i="5" l="1"/>
  <c r="I279" i="5" l="1"/>
  <c r="M280" i="5"/>
  <c r="M152" i="5" l="1"/>
  <c r="M124" i="5"/>
  <c r="G95" i="5"/>
  <c r="G93" i="5"/>
  <c r="G92" i="5"/>
  <c r="G88" i="5"/>
  <c r="G83" i="5"/>
  <c r="G82" i="5"/>
  <c r="G81" i="5"/>
  <c r="G80" i="5"/>
  <c r="G79" i="5"/>
  <c r="G77" i="5"/>
  <c r="G76" i="5"/>
  <c r="G75" i="5"/>
  <c r="K75" i="5" s="1"/>
  <c r="L132" i="5"/>
  <c r="L131" i="5"/>
  <c r="I88" i="5"/>
  <c r="I95" i="5"/>
  <c r="I93" i="5"/>
  <c r="I92" i="5"/>
  <c r="I83" i="5"/>
  <c r="I82" i="5"/>
  <c r="I81" i="5"/>
  <c r="I80" i="5"/>
  <c r="I79" i="5"/>
  <c r="I77" i="5"/>
  <c r="I76" i="5"/>
  <c r="I75" i="5"/>
  <c r="M89" i="5"/>
  <c r="M279" i="5"/>
  <c r="M278" i="5"/>
  <c r="M270" i="5"/>
  <c r="M131" i="5"/>
  <c r="M132" i="5"/>
  <c r="M133" i="5"/>
  <c r="M118" i="5"/>
  <c r="M113" i="5"/>
  <c r="M114" i="5"/>
  <c r="M115" i="5"/>
  <c r="M75" i="5"/>
  <c r="K272" i="5"/>
  <c r="K240" i="5"/>
  <c r="K241" i="5"/>
  <c r="K242" i="5"/>
  <c r="K243" i="5"/>
  <c r="K248" i="5"/>
  <c r="K252" i="5"/>
  <c r="K239" i="5"/>
  <c r="K196" i="5"/>
  <c r="K197" i="5"/>
  <c r="K195" i="5"/>
  <c r="K160" i="5"/>
  <c r="K154" i="5"/>
  <c r="K155" i="5"/>
  <c r="K156" i="5"/>
  <c r="K157" i="5"/>
  <c r="K153" i="5"/>
  <c r="K148" i="5"/>
  <c r="K149" i="5"/>
  <c r="K150" i="5"/>
  <c r="K145" i="5"/>
  <c r="K167" i="5"/>
  <c r="I108" i="5"/>
  <c r="I171" i="5"/>
  <c r="I264" i="5"/>
  <c r="I263" i="5"/>
  <c r="I193" i="5"/>
  <c r="I184" i="5"/>
  <c r="I183" i="5"/>
  <c r="K117" i="5"/>
  <c r="L127" i="5" l="1"/>
  <c r="K266" i="5"/>
  <c r="K105" i="5"/>
  <c r="K104" i="5"/>
  <c r="M248" i="5"/>
  <c r="M252" i="5"/>
  <c r="M240" i="5"/>
  <c r="M241" i="5"/>
  <c r="M242" i="5"/>
  <c r="M243" i="5"/>
  <c r="M239" i="5"/>
  <c r="M215" i="5" s="1"/>
  <c r="M272" i="5" l="1"/>
  <c r="K181" i="5"/>
  <c r="K182" i="5"/>
  <c r="K183" i="5"/>
  <c r="K184" i="5"/>
  <c r="K185" i="5"/>
  <c r="K186" i="5"/>
  <c r="K187" i="5"/>
  <c r="K188" i="5"/>
  <c r="K189" i="5"/>
  <c r="K190" i="5"/>
  <c r="K191" i="5"/>
  <c r="K180" i="5"/>
  <c r="K193" i="5"/>
  <c r="K192" i="5"/>
  <c r="K171" i="5"/>
  <c r="K170" i="5"/>
  <c r="K169" i="5"/>
  <c r="K168" i="5"/>
  <c r="K166" i="5"/>
  <c r="K165" i="5"/>
  <c r="K164" i="5"/>
  <c r="K162" i="5"/>
  <c r="K161" i="5"/>
  <c r="K159" i="5"/>
  <c r="K158" i="5"/>
  <c r="K151" i="5"/>
  <c r="K147" i="5"/>
  <c r="K146" i="5"/>
  <c r="M96" i="5"/>
  <c r="M95" i="5"/>
  <c r="K140" i="5" l="1"/>
  <c r="I27" i="5"/>
  <c r="M27" i="5" s="1"/>
  <c r="M111" i="5"/>
  <c r="K116" i="5"/>
  <c r="K122" i="5"/>
  <c r="M127" i="5"/>
  <c r="K215" i="5"/>
  <c r="K194" i="5"/>
  <c r="K179" i="5"/>
  <c r="M255" i="5"/>
  <c r="M285" i="5"/>
  <c r="M277" i="5"/>
  <c r="F123" i="5"/>
  <c r="K65" i="5"/>
  <c r="K66" i="5"/>
  <c r="K67" i="5"/>
  <c r="K68" i="5"/>
  <c r="K69" i="5"/>
  <c r="K70" i="5"/>
  <c r="K71" i="5"/>
  <c r="K64" i="5"/>
  <c r="K89" i="5"/>
  <c r="K90" i="5"/>
  <c r="K91" i="5"/>
  <c r="K92" i="5"/>
  <c r="K93" i="5"/>
  <c r="K94" i="5"/>
  <c r="K95" i="5"/>
  <c r="K96" i="5"/>
  <c r="K88" i="5"/>
  <c r="K76" i="5"/>
  <c r="K77" i="5"/>
  <c r="K78" i="5"/>
  <c r="K79" i="5"/>
  <c r="K80" i="5"/>
  <c r="K81" i="5"/>
  <c r="K82" i="5"/>
  <c r="K83" i="5"/>
  <c r="K84" i="5"/>
  <c r="M83" i="5"/>
  <c r="M82" i="5"/>
  <c r="M81" i="5"/>
  <c r="M80" i="5"/>
  <c r="M79" i="5"/>
  <c r="M77" i="5"/>
  <c r="M76" i="5"/>
  <c r="I94" i="5"/>
  <c r="M94" i="5" s="1"/>
  <c r="K62" i="5" l="1"/>
  <c r="K73" i="5"/>
  <c r="K178" i="5"/>
  <c r="K86" i="5"/>
  <c r="M264" i="5"/>
  <c r="M196" i="5"/>
  <c r="M197" i="5"/>
  <c r="M195" i="5"/>
  <c r="M193" i="5"/>
  <c r="M185" i="5"/>
  <c r="M183" i="5"/>
  <c r="M182" i="5"/>
  <c r="M180" i="5"/>
  <c r="M142" i="5"/>
  <c r="M143" i="5"/>
  <c r="M144" i="5"/>
  <c r="M145" i="5"/>
  <c r="M146" i="5"/>
  <c r="M147" i="5"/>
  <c r="M148" i="5"/>
  <c r="M149" i="5"/>
  <c r="M150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41" i="5"/>
  <c r="K264" i="5"/>
  <c r="M263" i="5"/>
  <c r="M194" i="5" l="1"/>
  <c r="M186" i="5"/>
  <c r="M184" i="5"/>
  <c r="M192" i="5"/>
  <c r="M188" i="5"/>
  <c r="M190" i="5"/>
  <c r="M181" i="5"/>
  <c r="M187" i="5"/>
  <c r="M189" i="5"/>
  <c r="M191" i="5"/>
  <c r="F280" i="5"/>
  <c r="F279" i="5"/>
  <c r="F205" i="5"/>
  <c r="F113" i="5"/>
  <c r="F67" i="5"/>
  <c r="F96" i="5"/>
  <c r="F95" i="5"/>
  <c r="M266" i="5"/>
  <c r="M262" i="5" s="1"/>
  <c r="M105" i="5"/>
  <c r="M104" i="5"/>
  <c r="F105" i="5"/>
  <c r="F104" i="5"/>
  <c r="I101" i="5"/>
  <c r="I84" i="5"/>
  <c r="M84" i="5" s="1"/>
  <c r="L67" i="5"/>
  <c r="L62" i="5" s="1"/>
  <c r="M179" i="5" l="1"/>
  <c r="M88" i="5"/>
  <c r="K101" i="5" l="1"/>
  <c r="K102" i="5"/>
  <c r="K103" i="5"/>
  <c r="K100" i="5"/>
  <c r="M108" i="5"/>
  <c r="M107" i="5" s="1"/>
  <c r="I70" i="5"/>
  <c r="I66" i="5"/>
  <c r="I65" i="5"/>
  <c r="I64" i="5"/>
  <c r="K98" i="5" l="1"/>
  <c r="M93" i="5"/>
  <c r="M92" i="5"/>
  <c r="M90" i="5"/>
  <c r="I71" i="5"/>
  <c r="M71" i="5" s="1"/>
  <c r="M70" i="5"/>
  <c r="M66" i="5"/>
  <c r="M65" i="5"/>
  <c r="F19" i="5"/>
  <c r="M19" i="5"/>
  <c r="F20" i="5"/>
  <c r="F21" i="5"/>
  <c r="M21" i="5"/>
  <c r="E22" i="5"/>
  <c r="F26" i="5"/>
  <c r="F24" i="5" s="1"/>
  <c r="G26" i="5"/>
  <c r="K26" i="5" s="1"/>
  <c r="M26" i="5"/>
  <c r="M24" i="5" s="1"/>
  <c r="F27" i="5"/>
  <c r="K27" i="5"/>
  <c r="F33" i="5"/>
  <c r="K33" i="5"/>
  <c r="F34" i="5"/>
  <c r="M34" i="5"/>
  <c r="F35" i="5"/>
  <c r="K35" i="5"/>
  <c r="M35" i="5" s="1"/>
  <c r="F36" i="5"/>
  <c r="K36" i="5"/>
  <c r="M36" i="5" s="1"/>
  <c r="F37" i="5"/>
  <c r="M37" i="5"/>
  <c r="F38" i="5"/>
  <c r="M38" i="5"/>
  <c r="F39" i="5"/>
  <c r="M39" i="5"/>
  <c r="F40" i="5"/>
  <c r="M40" i="5"/>
  <c r="F41" i="5"/>
  <c r="M41" i="5"/>
  <c r="F42" i="5"/>
  <c r="M42" i="5"/>
  <c r="F43" i="5"/>
  <c r="M43" i="5"/>
  <c r="F44" i="5"/>
  <c r="G44" i="5"/>
  <c r="I44" i="5" s="1"/>
  <c r="K44" i="5"/>
  <c r="M44" i="5" s="1"/>
  <c r="F45" i="5"/>
  <c r="G45" i="5"/>
  <c r="I45" i="5" s="1"/>
  <c r="K45" i="5"/>
  <c r="M45" i="5" s="1"/>
  <c r="F46" i="5"/>
  <c r="K46" i="5"/>
  <c r="M46" i="5" s="1"/>
  <c r="F50" i="5"/>
  <c r="F48" i="5" s="1"/>
  <c r="I50" i="5"/>
  <c r="K50" i="5"/>
  <c r="F54" i="5"/>
  <c r="I54" i="5"/>
  <c r="K54" i="5"/>
  <c r="F55" i="5"/>
  <c r="I55" i="5"/>
  <c r="K55" i="5"/>
  <c r="M55" i="5" s="1"/>
  <c r="F56" i="5"/>
  <c r="I56" i="5"/>
  <c r="K56" i="5"/>
  <c r="M56" i="5" s="1"/>
  <c r="F57" i="5"/>
  <c r="I57" i="5"/>
  <c r="K57" i="5"/>
  <c r="M57" i="5" s="1"/>
  <c r="F58" i="5"/>
  <c r="I58" i="5"/>
  <c r="K58" i="5"/>
  <c r="M58" i="5" s="1"/>
  <c r="F64" i="5"/>
  <c r="M64" i="5"/>
  <c r="F65" i="5"/>
  <c r="F66" i="5"/>
  <c r="M67" i="5"/>
  <c r="F68" i="5"/>
  <c r="M68" i="5"/>
  <c r="F69" i="5"/>
  <c r="M69" i="5"/>
  <c r="F70" i="5"/>
  <c r="F71" i="5"/>
  <c r="F75" i="5"/>
  <c r="F76" i="5"/>
  <c r="F77" i="5"/>
  <c r="F78" i="5"/>
  <c r="I78" i="5"/>
  <c r="M78" i="5" s="1"/>
  <c r="M73" i="5" s="1"/>
  <c r="F79" i="5"/>
  <c r="F80" i="5"/>
  <c r="F81" i="5"/>
  <c r="F82" i="5"/>
  <c r="F83" i="5"/>
  <c r="F84" i="5"/>
  <c r="F88" i="5"/>
  <c r="F89" i="5"/>
  <c r="F90" i="5"/>
  <c r="F91" i="5"/>
  <c r="F92" i="5"/>
  <c r="F93" i="5"/>
  <c r="F94" i="5"/>
  <c r="F100" i="5"/>
  <c r="F101" i="5"/>
  <c r="M101" i="5"/>
  <c r="F102" i="5"/>
  <c r="M102" i="5"/>
  <c r="F103" i="5"/>
  <c r="F108" i="5"/>
  <c r="F107" i="5" s="1"/>
  <c r="K108" i="5"/>
  <c r="K107" i="5" s="1"/>
  <c r="K110" i="5"/>
  <c r="F112" i="5"/>
  <c r="F114" i="5"/>
  <c r="F115" i="5"/>
  <c r="F117" i="5"/>
  <c r="F118" i="5"/>
  <c r="F120" i="5"/>
  <c r="F119" i="5" s="1"/>
  <c r="I123" i="5"/>
  <c r="M123" i="5"/>
  <c r="M122" i="5" s="1"/>
  <c r="F124" i="5"/>
  <c r="F122" i="5" s="1"/>
  <c r="L126" i="5"/>
  <c r="M126" i="5"/>
  <c r="F128" i="5"/>
  <c r="F129" i="5"/>
  <c r="F130" i="5"/>
  <c r="F131" i="5"/>
  <c r="F132" i="5"/>
  <c r="F133" i="5"/>
  <c r="F134" i="5"/>
  <c r="F135" i="5"/>
  <c r="F137" i="5"/>
  <c r="F138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M178" i="5"/>
  <c r="F195" i="5"/>
  <c r="F196" i="5"/>
  <c r="F197" i="5"/>
  <c r="F198" i="5"/>
  <c r="F199" i="5"/>
  <c r="F201" i="5"/>
  <c r="F202" i="5"/>
  <c r="F203" i="5"/>
  <c r="F204" i="5"/>
  <c r="F206" i="5"/>
  <c r="F207" i="5"/>
  <c r="F208" i="5"/>
  <c r="F209" i="5"/>
  <c r="F211" i="5"/>
  <c r="F212" i="5"/>
  <c r="F213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E253" i="5"/>
  <c r="F253" i="5" s="1"/>
  <c r="F256" i="5"/>
  <c r="F257" i="5"/>
  <c r="F258" i="5"/>
  <c r="F259" i="5"/>
  <c r="F260" i="5"/>
  <c r="F263" i="5"/>
  <c r="K263" i="5"/>
  <c r="K262" i="5" s="1"/>
  <c r="F264" i="5"/>
  <c r="F265" i="5"/>
  <c r="F266" i="5"/>
  <c r="F269" i="5"/>
  <c r="K268" i="5"/>
  <c r="M269" i="5"/>
  <c r="M268" i="5" s="1"/>
  <c r="F270" i="5"/>
  <c r="F272" i="5"/>
  <c r="F273" i="5"/>
  <c r="F274" i="5"/>
  <c r="F278" i="5"/>
  <c r="F277" i="5" s="1"/>
  <c r="F282" i="5"/>
  <c r="F281" i="5" s="1"/>
  <c r="F283" i="5"/>
  <c r="F286" i="5"/>
  <c r="F287" i="5"/>
  <c r="F288" i="5"/>
  <c r="C11" i="2"/>
  <c r="C21" i="2"/>
  <c r="C23" i="2" s="1"/>
  <c r="C25" i="2" s="1"/>
  <c r="C39" i="2"/>
  <c r="C41" i="2" s="1"/>
  <c r="C29" i="2" s="1"/>
  <c r="C55" i="2"/>
  <c r="C57" i="2" s="1"/>
  <c r="C76" i="2"/>
  <c r="C78" i="2" s="1"/>
  <c r="C66" i="2" s="1"/>
  <c r="C80" i="2"/>
  <c r="C82" i="2"/>
  <c r="C92" i="2"/>
  <c r="C94" i="2" s="1"/>
  <c r="C96" i="2" s="1"/>
  <c r="H28" i="1"/>
  <c r="T28" i="1"/>
  <c r="U28" i="1" s="1"/>
  <c r="V28" i="1" s="1"/>
  <c r="X28" i="1"/>
  <c r="Y28" i="1"/>
  <c r="Z28" i="1"/>
  <c r="Z27" i="1" s="1"/>
  <c r="AA28" i="1"/>
  <c r="AB28" i="1"/>
  <c r="H29" i="1"/>
  <c r="T29" i="1"/>
  <c r="U29" i="1" s="1"/>
  <c r="V29" i="1" s="1"/>
  <c r="X29" i="1"/>
  <c r="Y29" i="1" s="1"/>
  <c r="Z29" i="1"/>
  <c r="AA29" i="1"/>
  <c r="AB29" i="1"/>
  <c r="H30" i="1"/>
  <c r="T30" i="1"/>
  <c r="U30" i="1"/>
  <c r="V30" i="1" s="1"/>
  <c r="X30" i="1"/>
  <c r="Y30" i="1" s="1"/>
  <c r="Z30" i="1"/>
  <c r="AA30" i="1"/>
  <c r="AB30" i="1"/>
  <c r="H31" i="1"/>
  <c r="T31" i="1"/>
  <c r="U31" i="1"/>
  <c r="V31" i="1" s="1"/>
  <c r="X31" i="1"/>
  <c r="Y31" i="1" s="1"/>
  <c r="Z31" i="1"/>
  <c r="AA31" i="1"/>
  <c r="AB31" i="1"/>
  <c r="H32" i="1"/>
  <c r="T32" i="1"/>
  <c r="U32" i="1" s="1"/>
  <c r="V32" i="1" s="1"/>
  <c r="X32" i="1"/>
  <c r="Y32" i="1" s="1"/>
  <c r="Z32" i="1"/>
  <c r="AA32" i="1"/>
  <c r="AB32" i="1"/>
  <c r="H33" i="1"/>
  <c r="T33" i="1"/>
  <c r="U33" i="1" s="1"/>
  <c r="V33" i="1" s="1"/>
  <c r="X33" i="1"/>
  <c r="Y33" i="1"/>
  <c r="Z33" i="1"/>
  <c r="AA33" i="1"/>
  <c r="AB33" i="1"/>
  <c r="T34" i="1"/>
  <c r="V34" i="1"/>
  <c r="X34" i="1"/>
  <c r="Y34" i="1"/>
  <c r="Z34" i="1"/>
  <c r="AA34" i="1"/>
  <c r="AB34" i="1"/>
  <c r="H36" i="1"/>
  <c r="T36" i="1"/>
  <c r="U36" i="1" s="1"/>
  <c r="V36" i="1" s="1"/>
  <c r="X36" i="1"/>
  <c r="Y36" i="1" s="1"/>
  <c r="Z36" i="1"/>
  <c r="AA36" i="1"/>
  <c r="AB36" i="1"/>
  <c r="H37" i="1"/>
  <c r="T37" i="1"/>
  <c r="U37" i="1" s="1"/>
  <c r="W37" i="1"/>
  <c r="X37" i="1"/>
  <c r="Y37" i="1" s="1"/>
  <c r="Z37" i="1"/>
  <c r="AA37" i="1"/>
  <c r="AB37" i="1"/>
  <c r="H38" i="1"/>
  <c r="T38" i="1"/>
  <c r="U38" i="1" s="1"/>
  <c r="V38" i="1" s="1"/>
  <c r="X38" i="1"/>
  <c r="Y38" i="1" s="1"/>
  <c r="Z38" i="1"/>
  <c r="AA38" i="1"/>
  <c r="AB38" i="1"/>
  <c r="H39" i="1"/>
  <c r="T39" i="1"/>
  <c r="U39" i="1" s="1"/>
  <c r="V39" i="1" s="1"/>
  <c r="X39" i="1"/>
  <c r="Y39" i="1"/>
  <c r="Z39" i="1"/>
  <c r="AA39" i="1"/>
  <c r="AB39" i="1"/>
  <c r="H40" i="1"/>
  <c r="T40" i="1"/>
  <c r="U40" i="1" s="1"/>
  <c r="V40" i="1" s="1"/>
  <c r="X40" i="1"/>
  <c r="Y40" i="1" s="1"/>
  <c r="Z40" i="1"/>
  <c r="AA40" i="1"/>
  <c r="AB40" i="1"/>
  <c r="T41" i="1"/>
  <c r="V41" i="1"/>
  <c r="X41" i="1"/>
  <c r="Y41" i="1" s="1"/>
  <c r="Z41" i="1"/>
  <c r="AA41" i="1"/>
  <c r="AB41" i="1"/>
  <c r="H44" i="1"/>
  <c r="T44" i="1"/>
  <c r="U44" i="1"/>
  <c r="V44" i="1"/>
  <c r="X44" i="1"/>
  <c r="Y44" i="1" s="1"/>
  <c r="Z44" i="1"/>
  <c r="AA44" i="1"/>
  <c r="AB44" i="1"/>
  <c r="H45" i="1"/>
  <c r="T45" i="1"/>
  <c r="U45" i="1"/>
  <c r="V45" i="1" s="1"/>
  <c r="X45" i="1"/>
  <c r="Y45" i="1" s="1"/>
  <c r="Z45" i="1"/>
  <c r="AA45" i="1"/>
  <c r="AB45" i="1"/>
  <c r="H46" i="1"/>
  <c r="T46" i="1"/>
  <c r="U46" i="1" s="1"/>
  <c r="V46" i="1" s="1"/>
  <c r="X46" i="1"/>
  <c r="Y46" i="1" s="1"/>
  <c r="Z46" i="1"/>
  <c r="AA46" i="1"/>
  <c r="AB46" i="1"/>
  <c r="AB43" i="1" s="1"/>
  <c r="T47" i="1"/>
  <c r="V47" i="1"/>
  <c r="X47" i="1"/>
  <c r="Y47" i="1"/>
  <c r="Z47" i="1"/>
  <c r="AA47" i="1"/>
  <c r="AB47" i="1"/>
  <c r="H48" i="1"/>
  <c r="H49" i="1"/>
  <c r="T49" i="1"/>
  <c r="U49" i="1"/>
  <c r="V49" i="1"/>
  <c r="X49" i="1"/>
  <c r="Y49" i="1" s="1"/>
  <c r="Z49" i="1"/>
  <c r="AA49" i="1"/>
  <c r="AA48" i="1" s="1"/>
  <c r="AB49" i="1"/>
  <c r="AB48" i="1" s="1"/>
  <c r="H50" i="1"/>
  <c r="T50" i="1"/>
  <c r="U50" i="1"/>
  <c r="V50" i="1" s="1"/>
  <c r="X50" i="1"/>
  <c r="Y50" i="1" s="1"/>
  <c r="Z50" i="1"/>
  <c r="AA50" i="1"/>
  <c r="AB50" i="1"/>
  <c r="H51" i="1"/>
  <c r="T51" i="1"/>
  <c r="U51" i="1" s="1"/>
  <c r="V51" i="1" s="1"/>
  <c r="X51" i="1"/>
  <c r="Y51" i="1"/>
  <c r="Z51" i="1"/>
  <c r="AA51" i="1"/>
  <c r="AB51" i="1"/>
  <c r="T52" i="1"/>
  <c r="V52" i="1"/>
  <c r="X52" i="1"/>
  <c r="Y52" i="1"/>
  <c r="Z52" i="1"/>
  <c r="AA52" i="1"/>
  <c r="AB52" i="1"/>
  <c r="H54" i="1"/>
  <c r="Y54" i="1"/>
  <c r="H55" i="1"/>
  <c r="T55" i="1"/>
  <c r="U55" i="1"/>
  <c r="W55" i="1"/>
  <c r="X55" i="1"/>
  <c r="Z55" i="1"/>
  <c r="AA55" i="1"/>
  <c r="AA54" i="1" s="1"/>
  <c r="AB55" i="1"/>
  <c r="H56" i="1"/>
  <c r="S56" i="1"/>
  <c r="X56" i="1" s="1"/>
  <c r="Y56" i="1" s="1"/>
  <c r="T56" i="1"/>
  <c r="U56" i="1" s="1"/>
  <c r="W56" i="1"/>
  <c r="Z56" i="1"/>
  <c r="Z54" i="1" s="1"/>
  <c r="AA56" i="1"/>
  <c r="AB56" i="1"/>
  <c r="AB54" i="1" s="1"/>
  <c r="T57" i="1"/>
  <c r="V57" i="1"/>
  <c r="X57" i="1"/>
  <c r="Y57" i="1" s="1"/>
  <c r="Z57" i="1"/>
  <c r="AA57" i="1"/>
  <c r="AB57" i="1"/>
  <c r="Y58" i="1"/>
  <c r="AA58" i="1"/>
  <c r="AB58" i="1"/>
  <c r="H59" i="1"/>
  <c r="H58" i="1" s="1"/>
  <c r="I59" i="1"/>
  <c r="T59" i="1"/>
  <c r="U59" i="1"/>
  <c r="V59" i="1" s="1"/>
  <c r="W59" i="1"/>
  <c r="X59" i="1"/>
  <c r="Y59" i="1"/>
  <c r="Z59" i="1"/>
  <c r="AA59" i="1"/>
  <c r="AB59" i="1"/>
  <c r="H60" i="1"/>
  <c r="I60" i="1"/>
  <c r="T60" i="1"/>
  <c r="U60" i="1" s="1"/>
  <c r="V60" i="1" s="1"/>
  <c r="W60" i="1"/>
  <c r="Y60" i="1" s="1"/>
  <c r="X60" i="1"/>
  <c r="Z60" i="1"/>
  <c r="AA60" i="1"/>
  <c r="AB60" i="1"/>
  <c r="T61" i="1"/>
  <c r="V61" i="1"/>
  <c r="X61" i="1"/>
  <c r="Y61" i="1" s="1"/>
  <c r="Z61" i="1"/>
  <c r="AA61" i="1"/>
  <c r="AB61" i="1"/>
  <c r="Z62" i="1"/>
  <c r="H63" i="1"/>
  <c r="H62" i="1" s="1"/>
  <c r="T63" i="1"/>
  <c r="U63" i="1" s="1"/>
  <c r="V63" i="1" s="1"/>
  <c r="V62" i="1" s="1"/>
  <c r="W63" i="1"/>
  <c r="Y63" i="1" s="1"/>
  <c r="X63" i="1"/>
  <c r="Z63" i="1"/>
  <c r="AA63" i="1"/>
  <c r="AA62" i="1" s="1"/>
  <c r="AB63" i="1"/>
  <c r="AB62" i="1" s="1"/>
  <c r="T64" i="1"/>
  <c r="V64" i="1"/>
  <c r="X64" i="1"/>
  <c r="Y64" i="1" s="1"/>
  <c r="Z64" i="1"/>
  <c r="AA64" i="1"/>
  <c r="AB64" i="1"/>
  <c r="H66" i="1"/>
  <c r="T66" i="1"/>
  <c r="U66" i="1" s="1"/>
  <c r="W66" i="1"/>
  <c r="X66" i="1"/>
  <c r="Z66" i="1"/>
  <c r="AA66" i="1"/>
  <c r="AB66" i="1"/>
  <c r="H67" i="1"/>
  <c r="I67" i="1"/>
  <c r="T67" i="1"/>
  <c r="U67" i="1" s="1"/>
  <c r="V67" i="1" s="1"/>
  <c r="W67" i="1"/>
  <c r="X67" i="1"/>
  <c r="Y67" i="1"/>
  <c r="Z67" i="1"/>
  <c r="AA67" i="1"/>
  <c r="AB67" i="1"/>
  <c r="F68" i="1"/>
  <c r="H68" i="1"/>
  <c r="T68" i="1"/>
  <c r="U68" i="1" s="1"/>
  <c r="V68" i="1"/>
  <c r="W68" i="1"/>
  <c r="Y68" i="1" s="1"/>
  <c r="X68" i="1"/>
  <c r="Z68" i="1"/>
  <c r="AA68" i="1"/>
  <c r="AB68" i="1"/>
  <c r="H69" i="1"/>
  <c r="T69" i="1"/>
  <c r="U69" i="1" s="1"/>
  <c r="W69" i="1"/>
  <c r="X69" i="1"/>
  <c r="Z69" i="1"/>
  <c r="AA69" i="1"/>
  <c r="AB69" i="1"/>
  <c r="H70" i="1"/>
  <c r="S70" i="1"/>
  <c r="T70" i="1" s="1"/>
  <c r="U70" i="1" s="1"/>
  <c r="W70" i="1"/>
  <c r="X70" i="1"/>
  <c r="Z70" i="1"/>
  <c r="AB70" i="1"/>
  <c r="T71" i="1"/>
  <c r="V71" i="1"/>
  <c r="X71" i="1"/>
  <c r="Y71" i="1" s="1"/>
  <c r="Z71" i="1"/>
  <c r="AA71" i="1"/>
  <c r="AB71" i="1"/>
  <c r="Y72" i="1"/>
  <c r="H73" i="1"/>
  <c r="S73" i="1"/>
  <c r="AA73" i="1" s="1"/>
  <c r="AC73" i="1" s="1"/>
  <c r="W73" i="1"/>
  <c r="Z73" i="1"/>
  <c r="AB73" i="1"/>
  <c r="AB72" i="1" s="1"/>
  <c r="H74" i="1"/>
  <c r="S74" i="1"/>
  <c r="T74" i="1" s="1"/>
  <c r="U74" i="1" s="1"/>
  <c r="W74" i="1"/>
  <c r="Z74" i="1"/>
  <c r="Z72" i="1" s="1"/>
  <c r="AA74" i="1"/>
  <c r="AB74" i="1"/>
  <c r="T75" i="1"/>
  <c r="V75" i="1"/>
  <c r="X75" i="1"/>
  <c r="Y75" i="1" s="1"/>
  <c r="Z75" i="1"/>
  <c r="AA75" i="1"/>
  <c r="AB75" i="1"/>
  <c r="Y76" i="1"/>
  <c r="H77" i="1"/>
  <c r="T77" i="1"/>
  <c r="U77" i="1"/>
  <c r="F77" i="1" s="1"/>
  <c r="W77" i="1"/>
  <c r="Y77" i="1" s="1"/>
  <c r="X77" i="1"/>
  <c r="Z77" i="1"/>
  <c r="Z76" i="1" s="1"/>
  <c r="AA77" i="1"/>
  <c r="AB77" i="1"/>
  <c r="H78" i="1"/>
  <c r="T78" i="1"/>
  <c r="U78" i="1" s="1"/>
  <c r="W78" i="1"/>
  <c r="X78" i="1"/>
  <c r="Z78" i="1"/>
  <c r="AA78" i="1"/>
  <c r="AB78" i="1"/>
  <c r="H79" i="1"/>
  <c r="T79" i="1"/>
  <c r="U79" i="1" s="1"/>
  <c r="W79" i="1"/>
  <c r="X79" i="1"/>
  <c r="Z79" i="1"/>
  <c r="AA79" i="1"/>
  <c r="AB79" i="1"/>
  <c r="H80" i="1"/>
  <c r="T80" i="1"/>
  <c r="U80" i="1" s="1"/>
  <c r="W80" i="1"/>
  <c r="X80" i="1"/>
  <c r="Z80" i="1"/>
  <c r="AA80" i="1"/>
  <c r="AB80" i="1"/>
  <c r="AB76" i="1" s="1"/>
  <c r="T81" i="1"/>
  <c r="V81" i="1"/>
  <c r="X81" i="1"/>
  <c r="Y81" i="1"/>
  <c r="Z81" i="1"/>
  <c r="AA81" i="1"/>
  <c r="AB81" i="1"/>
  <c r="H83" i="1"/>
  <c r="T83" i="1"/>
  <c r="U83" i="1" s="1"/>
  <c r="V83" i="1" s="1"/>
  <c r="W83" i="1"/>
  <c r="X83" i="1"/>
  <c r="Z83" i="1"/>
  <c r="AA83" i="1"/>
  <c r="AB83" i="1"/>
  <c r="H84" i="1"/>
  <c r="T84" i="1"/>
  <c r="U84" i="1" s="1"/>
  <c r="V84" i="1" s="1"/>
  <c r="W84" i="1"/>
  <c r="X84" i="1"/>
  <c r="Y84" i="1"/>
  <c r="Z84" i="1"/>
  <c r="AA84" i="1"/>
  <c r="AB84" i="1"/>
  <c r="H85" i="1"/>
  <c r="T85" i="1"/>
  <c r="U85" i="1" s="1"/>
  <c r="V85" i="1" s="1"/>
  <c r="W85" i="1"/>
  <c r="Y85" i="1" s="1"/>
  <c r="X85" i="1"/>
  <c r="Z85" i="1"/>
  <c r="AA85" i="1"/>
  <c r="AB85" i="1"/>
  <c r="H86" i="1"/>
  <c r="T86" i="1"/>
  <c r="U86" i="1" s="1"/>
  <c r="W86" i="1"/>
  <c r="X86" i="1"/>
  <c r="Z86" i="1"/>
  <c r="AA86" i="1"/>
  <c r="AB86" i="1"/>
  <c r="H87" i="1"/>
  <c r="S87" i="1"/>
  <c r="X87" i="1" s="1"/>
  <c r="W87" i="1"/>
  <c r="Z87" i="1"/>
  <c r="AB87" i="1"/>
  <c r="T88" i="1"/>
  <c r="V88" i="1"/>
  <c r="X88" i="1"/>
  <c r="Y88" i="1" s="1"/>
  <c r="Z88" i="1"/>
  <c r="AA88" i="1"/>
  <c r="AB88" i="1"/>
  <c r="AB89" i="1"/>
  <c r="H90" i="1"/>
  <c r="T90" i="1"/>
  <c r="U90" i="1"/>
  <c r="V90" i="1"/>
  <c r="W90" i="1"/>
  <c r="X90" i="1"/>
  <c r="Y90" i="1"/>
  <c r="Z90" i="1"/>
  <c r="AA90" i="1"/>
  <c r="AB90" i="1"/>
  <c r="H91" i="1"/>
  <c r="T91" i="1"/>
  <c r="U91" i="1" s="1"/>
  <c r="F91" i="1" s="1"/>
  <c r="V91" i="1"/>
  <c r="W91" i="1"/>
  <c r="Y91" i="1" s="1"/>
  <c r="X91" i="1"/>
  <c r="Z91" i="1"/>
  <c r="AA91" i="1"/>
  <c r="AA89" i="1" s="1"/>
  <c r="AB91" i="1"/>
  <c r="H92" i="1"/>
  <c r="S92" i="1"/>
  <c r="W92" i="1"/>
  <c r="Z92" i="1"/>
  <c r="AA92" i="1"/>
  <c r="AB92" i="1"/>
  <c r="H93" i="1"/>
  <c r="T93" i="1"/>
  <c r="U93" i="1" s="1"/>
  <c r="W93" i="1"/>
  <c r="X93" i="1"/>
  <c r="Z93" i="1"/>
  <c r="AA93" i="1"/>
  <c r="AB93" i="1"/>
  <c r="H94" i="1"/>
  <c r="T94" i="1"/>
  <c r="U94" i="1" s="1"/>
  <c r="W94" i="1"/>
  <c r="Y94" i="1" s="1"/>
  <c r="X94" i="1"/>
  <c r="Z94" i="1"/>
  <c r="AA94" i="1"/>
  <c r="AB94" i="1"/>
  <c r="T95" i="1"/>
  <c r="V95" i="1"/>
  <c r="X95" i="1"/>
  <c r="Y95" i="1" s="1"/>
  <c r="Z95" i="1"/>
  <c r="AA95" i="1"/>
  <c r="AB95" i="1"/>
  <c r="Y96" i="1"/>
  <c r="H97" i="1"/>
  <c r="S97" i="1"/>
  <c r="AA97" i="1" s="1"/>
  <c r="AA96" i="1" s="1"/>
  <c r="AC96" i="1" s="1"/>
  <c r="W97" i="1"/>
  <c r="Z97" i="1"/>
  <c r="AB97" i="1"/>
  <c r="H98" i="1"/>
  <c r="T98" i="1"/>
  <c r="U98" i="1" s="1"/>
  <c r="W98" i="1"/>
  <c r="X98" i="1"/>
  <c r="Z98" i="1"/>
  <c r="AA98" i="1"/>
  <c r="AB98" i="1"/>
  <c r="H99" i="1"/>
  <c r="T99" i="1"/>
  <c r="U99" i="1" s="1"/>
  <c r="W99" i="1"/>
  <c r="X99" i="1"/>
  <c r="Y99" i="1" s="1"/>
  <c r="Z99" i="1"/>
  <c r="AA99" i="1"/>
  <c r="AB99" i="1"/>
  <c r="H100" i="1"/>
  <c r="T100" i="1"/>
  <c r="U100" i="1"/>
  <c r="F100" i="1" s="1"/>
  <c r="W100" i="1"/>
  <c r="X100" i="1"/>
  <c r="Y100" i="1"/>
  <c r="Z100" i="1"/>
  <c r="AA100" i="1"/>
  <c r="AB100" i="1"/>
  <c r="F101" i="1"/>
  <c r="H101" i="1"/>
  <c r="T101" i="1"/>
  <c r="U101" i="1" s="1"/>
  <c r="V101" i="1"/>
  <c r="W101" i="1"/>
  <c r="Y101" i="1" s="1"/>
  <c r="X101" i="1"/>
  <c r="Z101" i="1"/>
  <c r="AA101" i="1"/>
  <c r="AB101" i="1"/>
  <c r="H102" i="1"/>
  <c r="T102" i="1"/>
  <c r="U102" i="1" s="1"/>
  <c r="W102" i="1"/>
  <c r="X102" i="1"/>
  <c r="Z102" i="1"/>
  <c r="AA102" i="1"/>
  <c r="AB102" i="1"/>
  <c r="H103" i="1"/>
  <c r="T103" i="1"/>
  <c r="U103" i="1" s="1"/>
  <c r="W103" i="1"/>
  <c r="X103" i="1"/>
  <c r="Y103" i="1"/>
  <c r="Z103" i="1"/>
  <c r="AA103" i="1"/>
  <c r="AB103" i="1"/>
  <c r="F104" i="1"/>
  <c r="H104" i="1"/>
  <c r="T104" i="1"/>
  <c r="U104" i="1"/>
  <c r="V104" i="1"/>
  <c r="W104" i="1"/>
  <c r="X104" i="1"/>
  <c r="Y104" i="1"/>
  <c r="Z104" i="1"/>
  <c r="AA104" i="1"/>
  <c r="AB104" i="1"/>
  <c r="T105" i="1"/>
  <c r="V105" i="1"/>
  <c r="X105" i="1"/>
  <c r="Y105" i="1" s="1"/>
  <c r="Z105" i="1"/>
  <c r="AA105" i="1"/>
  <c r="AB105" i="1"/>
  <c r="H107" i="1"/>
  <c r="T107" i="1"/>
  <c r="U107" i="1" s="1"/>
  <c r="V107" i="1" s="1"/>
  <c r="W107" i="1"/>
  <c r="X107" i="1"/>
  <c r="Z107" i="1"/>
  <c r="AA107" i="1"/>
  <c r="AB107" i="1"/>
  <c r="H108" i="1"/>
  <c r="T108" i="1"/>
  <c r="U108" i="1"/>
  <c r="V108" i="1" s="1"/>
  <c r="W108" i="1"/>
  <c r="Y108" i="1" s="1"/>
  <c r="X108" i="1"/>
  <c r="Z108" i="1"/>
  <c r="AA108" i="1"/>
  <c r="AB108" i="1"/>
  <c r="H109" i="1"/>
  <c r="T109" i="1"/>
  <c r="U109" i="1" s="1"/>
  <c r="V109" i="1" s="1"/>
  <c r="W109" i="1"/>
  <c r="X109" i="1"/>
  <c r="Z109" i="1"/>
  <c r="AA109" i="1"/>
  <c r="AB109" i="1"/>
  <c r="H110" i="1"/>
  <c r="T110" i="1"/>
  <c r="U110" i="1"/>
  <c r="V110" i="1"/>
  <c r="W110" i="1"/>
  <c r="X110" i="1"/>
  <c r="Y110" i="1"/>
  <c r="Z110" i="1"/>
  <c r="AA110" i="1"/>
  <c r="AB110" i="1"/>
  <c r="H111" i="1"/>
  <c r="T111" i="1"/>
  <c r="U111" i="1" s="1"/>
  <c r="V111" i="1" s="1"/>
  <c r="X111" i="1"/>
  <c r="Y111" i="1" s="1"/>
  <c r="Z111" i="1"/>
  <c r="AA111" i="1"/>
  <c r="AB111" i="1"/>
  <c r="H112" i="1"/>
  <c r="T112" i="1"/>
  <c r="U112" i="1" s="1"/>
  <c r="V112" i="1"/>
  <c r="X112" i="1"/>
  <c r="Y112" i="1" s="1"/>
  <c r="Z112" i="1"/>
  <c r="AA112" i="1"/>
  <c r="AB112" i="1"/>
  <c r="H113" i="1"/>
  <c r="T113" i="1"/>
  <c r="U113" i="1" s="1"/>
  <c r="W113" i="1"/>
  <c r="X113" i="1"/>
  <c r="Y113" i="1" s="1"/>
  <c r="Z113" i="1"/>
  <c r="AA113" i="1"/>
  <c r="AB113" i="1"/>
  <c r="H114" i="1"/>
  <c r="T114" i="1"/>
  <c r="U114" i="1" s="1"/>
  <c r="F114" i="1" s="1"/>
  <c r="W114" i="1"/>
  <c r="X114" i="1"/>
  <c r="Y114" i="1" s="1"/>
  <c r="Z114" i="1"/>
  <c r="AA114" i="1"/>
  <c r="AB114" i="1"/>
  <c r="H115" i="1"/>
  <c r="T115" i="1"/>
  <c r="U115" i="1"/>
  <c r="F115" i="1" s="1"/>
  <c r="W115" i="1"/>
  <c r="Y115" i="1" s="1"/>
  <c r="X115" i="1"/>
  <c r="Z115" i="1"/>
  <c r="AA115" i="1"/>
  <c r="AB115" i="1"/>
  <c r="H116" i="1"/>
  <c r="T116" i="1"/>
  <c r="U116" i="1" s="1"/>
  <c r="V116" i="1" s="1"/>
  <c r="W116" i="1"/>
  <c r="X116" i="1"/>
  <c r="Y116" i="1"/>
  <c r="Z116" i="1"/>
  <c r="AA116" i="1"/>
  <c r="AB116" i="1"/>
  <c r="H117" i="1"/>
  <c r="T117" i="1"/>
  <c r="U117" i="1" s="1"/>
  <c r="V117" i="1" s="1"/>
  <c r="X117" i="1"/>
  <c r="Y117" i="1" s="1"/>
  <c r="Z117" i="1"/>
  <c r="AA117" i="1"/>
  <c r="AB117" i="1"/>
  <c r="H118" i="1"/>
  <c r="T118" i="1"/>
  <c r="U118" i="1"/>
  <c r="V118" i="1" s="1"/>
  <c r="X118" i="1"/>
  <c r="Y118" i="1" s="1"/>
  <c r="Z118" i="1"/>
  <c r="AA118" i="1"/>
  <c r="AB118" i="1"/>
  <c r="H119" i="1"/>
  <c r="T119" i="1"/>
  <c r="U119" i="1" s="1"/>
  <c r="V119" i="1" s="1"/>
  <c r="X119" i="1"/>
  <c r="Y119" i="1"/>
  <c r="Z119" i="1"/>
  <c r="AA119" i="1"/>
  <c r="AB119" i="1"/>
  <c r="H120" i="1"/>
  <c r="T120" i="1"/>
  <c r="U120" i="1" s="1"/>
  <c r="V120" i="1" s="1"/>
  <c r="X120" i="1"/>
  <c r="Y120" i="1" s="1"/>
  <c r="Z120" i="1"/>
  <c r="AA120" i="1"/>
  <c r="AB120" i="1"/>
  <c r="H121" i="1"/>
  <c r="T121" i="1"/>
  <c r="U121" i="1" s="1"/>
  <c r="V121" i="1"/>
  <c r="X121" i="1"/>
  <c r="Y121" i="1" s="1"/>
  <c r="Z121" i="1"/>
  <c r="AA121" i="1"/>
  <c r="AB121" i="1"/>
  <c r="H122" i="1"/>
  <c r="T122" i="1"/>
  <c r="U122" i="1"/>
  <c r="V122" i="1"/>
  <c r="X122" i="1"/>
  <c r="Y122" i="1" s="1"/>
  <c r="Z122" i="1"/>
  <c r="AA122" i="1"/>
  <c r="AB122" i="1"/>
  <c r="H123" i="1"/>
  <c r="T123" i="1"/>
  <c r="U123" i="1"/>
  <c r="V123" i="1" s="1"/>
  <c r="X123" i="1"/>
  <c r="Y123" i="1" s="1"/>
  <c r="Z123" i="1"/>
  <c r="AA123" i="1"/>
  <c r="AB123" i="1"/>
  <c r="H124" i="1"/>
  <c r="T124" i="1"/>
  <c r="U124" i="1" s="1"/>
  <c r="V124" i="1" s="1"/>
  <c r="X124" i="1"/>
  <c r="Y124" i="1" s="1"/>
  <c r="Z124" i="1"/>
  <c r="AA124" i="1"/>
  <c r="AB124" i="1"/>
  <c r="H125" i="1"/>
  <c r="T125" i="1"/>
  <c r="U125" i="1"/>
  <c r="V125" i="1" s="1"/>
  <c r="W125" i="1"/>
  <c r="Y125" i="1" s="1"/>
  <c r="X125" i="1"/>
  <c r="Z125" i="1"/>
  <c r="AA125" i="1"/>
  <c r="AB125" i="1"/>
  <c r="H126" i="1"/>
  <c r="T126" i="1"/>
  <c r="U126" i="1" s="1"/>
  <c r="V126" i="1" s="1"/>
  <c r="W126" i="1"/>
  <c r="X126" i="1"/>
  <c r="Z126" i="1"/>
  <c r="AA126" i="1"/>
  <c r="AB126" i="1"/>
  <c r="H127" i="1"/>
  <c r="T127" i="1"/>
  <c r="U127" i="1" s="1"/>
  <c r="V127" i="1" s="1"/>
  <c r="W127" i="1"/>
  <c r="X127" i="1"/>
  <c r="Z127" i="1"/>
  <c r="AA127" i="1"/>
  <c r="AB127" i="1"/>
  <c r="H128" i="1"/>
  <c r="T128" i="1"/>
  <c r="U128" i="1" s="1"/>
  <c r="V128" i="1" s="1"/>
  <c r="W128" i="1"/>
  <c r="X128" i="1"/>
  <c r="Y128" i="1"/>
  <c r="Z128" i="1"/>
  <c r="AA128" i="1"/>
  <c r="AB128" i="1"/>
  <c r="H129" i="1"/>
  <c r="T129" i="1"/>
  <c r="U129" i="1" s="1"/>
  <c r="V129" i="1" s="1"/>
  <c r="W129" i="1"/>
  <c r="Y129" i="1" s="1"/>
  <c r="X129" i="1"/>
  <c r="Z129" i="1"/>
  <c r="AA129" i="1"/>
  <c r="AB129" i="1"/>
  <c r="H130" i="1"/>
  <c r="T130" i="1"/>
  <c r="U130" i="1" s="1"/>
  <c r="V130" i="1" s="1"/>
  <c r="W130" i="1"/>
  <c r="X130" i="1"/>
  <c r="Z130" i="1"/>
  <c r="AA130" i="1"/>
  <c r="AB130" i="1"/>
  <c r="H131" i="1"/>
  <c r="T131" i="1"/>
  <c r="U131" i="1"/>
  <c r="V131" i="1"/>
  <c r="W131" i="1"/>
  <c r="Y131" i="1" s="1"/>
  <c r="X131" i="1"/>
  <c r="Z131" i="1"/>
  <c r="AA131" i="1"/>
  <c r="AB131" i="1"/>
  <c r="H132" i="1"/>
  <c r="T132" i="1"/>
  <c r="U132" i="1"/>
  <c r="V132" i="1" s="1"/>
  <c r="X132" i="1"/>
  <c r="Y132" i="1" s="1"/>
  <c r="Z132" i="1"/>
  <c r="AA132" i="1"/>
  <c r="AB132" i="1"/>
  <c r="H133" i="1"/>
  <c r="T133" i="1"/>
  <c r="U133" i="1" s="1"/>
  <c r="V133" i="1" s="1"/>
  <c r="X133" i="1"/>
  <c r="Y133" i="1" s="1"/>
  <c r="Z133" i="1"/>
  <c r="AA133" i="1"/>
  <c r="AB133" i="1"/>
  <c r="H134" i="1"/>
  <c r="T134" i="1"/>
  <c r="U134" i="1" s="1"/>
  <c r="V134" i="1" s="1"/>
  <c r="X134" i="1"/>
  <c r="Y134" i="1" s="1"/>
  <c r="Z134" i="1"/>
  <c r="AA134" i="1"/>
  <c r="AB134" i="1"/>
  <c r="H135" i="1"/>
  <c r="T135" i="1"/>
  <c r="U135" i="1" s="1"/>
  <c r="V135" i="1"/>
  <c r="X135" i="1"/>
  <c r="Y135" i="1" s="1"/>
  <c r="Z135" i="1"/>
  <c r="AA135" i="1"/>
  <c r="AB135" i="1"/>
  <c r="H136" i="1"/>
  <c r="T136" i="1"/>
  <c r="U136" i="1"/>
  <c r="V136" i="1" s="1"/>
  <c r="X136" i="1"/>
  <c r="Y136" i="1" s="1"/>
  <c r="Z136" i="1"/>
  <c r="AA136" i="1"/>
  <c r="AB136" i="1"/>
  <c r="H137" i="1"/>
  <c r="T137" i="1"/>
  <c r="U137" i="1"/>
  <c r="W137" i="1"/>
  <c r="X137" i="1"/>
  <c r="Z137" i="1"/>
  <c r="AA137" i="1"/>
  <c r="AB137" i="1"/>
  <c r="H138" i="1"/>
  <c r="T138" i="1"/>
  <c r="U138" i="1" s="1"/>
  <c r="W138" i="1"/>
  <c r="X138" i="1"/>
  <c r="Z138" i="1"/>
  <c r="AA138" i="1"/>
  <c r="AB138" i="1"/>
  <c r="H139" i="1"/>
  <c r="T139" i="1"/>
  <c r="U139" i="1" s="1"/>
  <c r="V139" i="1" s="1"/>
  <c r="X139" i="1"/>
  <c r="Y139" i="1" s="1"/>
  <c r="Z139" i="1"/>
  <c r="AA139" i="1"/>
  <c r="AB139" i="1"/>
  <c r="H140" i="1"/>
  <c r="T140" i="1"/>
  <c r="U140" i="1" s="1"/>
  <c r="V140" i="1" s="1"/>
  <c r="X140" i="1"/>
  <c r="Y140" i="1" s="1"/>
  <c r="Z140" i="1"/>
  <c r="AA140" i="1"/>
  <c r="AB140" i="1"/>
  <c r="H141" i="1"/>
  <c r="T141" i="1"/>
  <c r="U141" i="1" s="1"/>
  <c r="V141" i="1" s="1"/>
  <c r="X141" i="1"/>
  <c r="Y141" i="1"/>
  <c r="Z141" i="1"/>
  <c r="AA141" i="1"/>
  <c r="AB141" i="1"/>
  <c r="H142" i="1"/>
  <c r="T142" i="1"/>
  <c r="U142" i="1" s="1"/>
  <c r="V142" i="1" s="1"/>
  <c r="X142" i="1"/>
  <c r="Y142" i="1" s="1"/>
  <c r="Z142" i="1"/>
  <c r="AA142" i="1"/>
  <c r="AB142" i="1"/>
  <c r="H143" i="1"/>
  <c r="T143" i="1"/>
  <c r="U143" i="1" s="1"/>
  <c r="V143" i="1" s="1"/>
  <c r="W143" i="1"/>
  <c r="Y143" i="1" s="1"/>
  <c r="X143" i="1"/>
  <c r="Z143" i="1"/>
  <c r="AA143" i="1"/>
  <c r="AB143" i="1"/>
  <c r="H144" i="1"/>
  <c r="T144" i="1"/>
  <c r="U144" i="1" s="1"/>
  <c r="V144" i="1" s="1"/>
  <c r="W144" i="1"/>
  <c r="X144" i="1"/>
  <c r="Z144" i="1"/>
  <c r="AA144" i="1"/>
  <c r="AB144" i="1"/>
  <c r="H145" i="1"/>
  <c r="T145" i="1"/>
  <c r="U145" i="1" s="1"/>
  <c r="V145" i="1"/>
  <c r="W145" i="1"/>
  <c r="Y145" i="1" s="1"/>
  <c r="X145" i="1"/>
  <c r="Z145" i="1"/>
  <c r="AA145" i="1"/>
  <c r="AB145" i="1"/>
  <c r="H146" i="1"/>
  <c r="T146" i="1"/>
  <c r="U146" i="1" s="1"/>
  <c r="W146" i="1"/>
  <c r="X146" i="1"/>
  <c r="Z146" i="1"/>
  <c r="AA146" i="1"/>
  <c r="AB146" i="1"/>
  <c r="H147" i="1"/>
  <c r="T147" i="1"/>
  <c r="U147" i="1" s="1"/>
  <c r="W147" i="1"/>
  <c r="X147" i="1"/>
  <c r="Z147" i="1"/>
  <c r="AA147" i="1"/>
  <c r="AB147" i="1"/>
  <c r="T148" i="1"/>
  <c r="V148" i="1"/>
  <c r="X148" i="1"/>
  <c r="Y148" i="1" s="1"/>
  <c r="Z148" i="1"/>
  <c r="AA148" i="1"/>
  <c r="AB148" i="1"/>
  <c r="H150" i="1"/>
  <c r="T150" i="1"/>
  <c r="U150" i="1"/>
  <c r="V150" i="1" s="1"/>
  <c r="W150" i="1"/>
  <c r="X150" i="1"/>
  <c r="Y150" i="1" s="1"/>
  <c r="Z150" i="1"/>
  <c r="AA150" i="1"/>
  <c r="AB150" i="1"/>
  <c r="H151" i="1"/>
  <c r="T151" i="1"/>
  <c r="U151" i="1" s="1"/>
  <c r="V151" i="1" s="1"/>
  <c r="W151" i="1"/>
  <c r="X151" i="1"/>
  <c r="Z151" i="1"/>
  <c r="AA151" i="1"/>
  <c r="AB151" i="1"/>
  <c r="H152" i="1"/>
  <c r="T152" i="1"/>
  <c r="U152" i="1" s="1"/>
  <c r="V152" i="1" s="1"/>
  <c r="W152" i="1"/>
  <c r="X152" i="1"/>
  <c r="Y152" i="1"/>
  <c r="Z152" i="1"/>
  <c r="AA152" i="1"/>
  <c r="AB152" i="1"/>
  <c r="F153" i="1"/>
  <c r="H153" i="1"/>
  <c r="T153" i="1"/>
  <c r="U153" i="1" s="1"/>
  <c r="V153" i="1"/>
  <c r="W153" i="1"/>
  <c r="Y153" i="1" s="1"/>
  <c r="X153" i="1"/>
  <c r="Z153" i="1"/>
  <c r="AA153" i="1"/>
  <c r="AB153" i="1"/>
  <c r="H154" i="1"/>
  <c r="T154" i="1"/>
  <c r="U154" i="1"/>
  <c r="V154" i="1" s="1"/>
  <c r="W154" i="1"/>
  <c r="X154" i="1"/>
  <c r="Z154" i="1"/>
  <c r="AA154" i="1"/>
  <c r="AB154" i="1"/>
  <c r="H155" i="1"/>
  <c r="T155" i="1"/>
  <c r="U155" i="1" s="1"/>
  <c r="V155" i="1"/>
  <c r="W155" i="1"/>
  <c r="Y155" i="1" s="1"/>
  <c r="X155" i="1"/>
  <c r="Z155" i="1"/>
  <c r="AA155" i="1"/>
  <c r="AB155" i="1"/>
  <c r="H156" i="1"/>
  <c r="T156" i="1"/>
  <c r="U156" i="1"/>
  <c r="V156" i="1" s="1"/>
  <c r="W156" i="1"/>
  <c r="Y156" i="1" s="1"/>
  <c r="X156" i="1"/>
  <c r="Z156" i="1"/>
  <c r="AA156" i="1"/>
  <c r="AB156" i="1"/>
  <c r="H157" i="1"/>
  <c r="T157" i="1"/>
  <c r="U157" i="1" s="1"/>
  <c r="V157" i="1" s="1"/>
  <c r="W157" i="1"/>
  <c r="Y157" i="1" s="1"/>
  <c r="X157" i="1"/>
  <c r="Z157" i="1"/>
  <c r="AA157" i="1"/>
  <c r="AB157" i="1"/>
  <c r="H158" i="1"/>
  <c r="T158" i="1"/>
  <c r="U158" i="1" s="1"/>
  <c r="V158" i="1" s="1"/>
  <c r="W158" i="1"/>
  <c r="X158" i="1"/>
  <c r="Z158" i="1"/>
  <c r="AA158" i="1"/>
  <c r="AB158" i="1"/>
  <c r="H159" i="1"/>
  <c r="T159" i="1"/>
  <c r="U159" i="1" s="1"/>
  <c r="W159" i="1"/>
  <c r="X159" i="1"/>
  <c r="Y159" i="1"/>
  <c r="Z159" i="1"/>
  <c r="AA159" i="1"/>
  <c r="AB159" i="1"/>
  <c r="H160" i="1"/>
  <c r="T160" i="1"/>
  <c r="U160" i="1" s="1"/>
  <c r="V160" i="1" s="1"/>
  <c r="W160" i="1"/>
  <c r="X160" i="1"/>
  <c r="Z160" i="1"/>
  <c r="AA160" i="1"/>
  <c r="AB160" i="1"/>
  <c r="H161" i="1"/>
  <c r="T161" i="1"/>
  <c r="U161" i="1" s="1"/>
  <c r="V161" i="1" s="1"/>
  <c r="W161" i="1"/>
  <c r="X161" i="1"/>
  <c r="Y161" i="1"/>
  <c r="Z161" i="1"/>
  <c r="AA161" i="1"/>
  <c r="AB161" i="1"/>
  <c r="H162" i="1"/>
  <c r="T162" i="1"/>
  <c r="U162" i="1" s="1"/>
  <c r="V162" i="1" s="1"/>
  <c r="W162" i="1"/>
  <c r="X162" i="1"/>
  <c r="Z162" i="1"/>
  <c r="AA162" i="1"/>
  <c r="AB162" i="1"/>
  <c r="H163" i="1"/>
  <c r="T163" i="1"/>
  <c r="U163" i="1" s="1"/>
  <c r="W163" i="1"/>
  <c r="X163" i="1"/>
  <c r="Y163" i="1"/>
  <c r="Z163" i="1"/>
  <c r="AA163" i="1"/>
  <c r="AB163" i="1"/>
  <c r="H164" i="1"/>
  <c r="T164" i="1"/>
  <c r="U164" i="1" s="1"/>
  <c r="V164" i="1" s="1"/>
  <c r="W164" i="1"/>
  <c r="Y164" i="1" s="1"/>
  <c r="X164" i="1"/>
  <c r="Z164" i="1"/>
  <c r="AA164" i="1"/>
  <c r="AB164" i="1"/>
  <c r="H165" i="1"/>
  <c r="T165" i="1"/>
  <c r="U165" i="1" s="1"/>
  <c r="V165" i="1" s="1"/>
  <c r="W165" i="1"/>
  <c r="X165" i="1"/>
  <c r="Y165" i="1" s="1"/>
  <c r="Z165" i="1"/>
  <c r="AA165" i="1"/>
  <c r="AB165" i="1"/>
  <c r="H166" i="1"/>
  <c r="T166" i="1"/>
  <c r="U166" i="1" s="1"/>
  <c r="V166" i="1"/>
  <c r="W166" i="1"/>
  <c r="Y166" i="1" s="1"/>
  <c r="X166" i="1"/>
  <c r="Z166" i="1"/>
  <c r="AA166" i="1"/>
  <c r="AB166" i="1"/>
  <c r="H167" i="1"/>
  <c r="T167" i="1"/>
  <c r="U167" i="1" s="1"/>
  <c r="V167" i="1" s="1"/>
  <c r="W167" i="1"/>
  <c r="X167" i="1"/>
  <c r="Z167" i="1"/>
  <c r="AA167" i="1"/>
  <c r="AB167" i="1"/>
  <c r="H168" i="1"/>
  <c r="T168" i="1"/>
  <c r="U168" i="1"/>
  <c r="V168" i="1"/>
  <c r="W168" i="1"/>
  <c r="Y168" i="1" s="1"/>
  <c r="X168" i="1"/>
  <c r="Z168" i="1"/>
  <c r="AA168" i="1"/>
  <c r="AB168" i="1"/>
  <c r="H169" i="1"/>
  <c r="T169" i="1"/>
  <c r="U169" i="1"/>
  <c r="V169" i="1" s="1"/>
  <c r="W169" i="1"/>
  <c r="X169" i="1"/>
  <c r="Z169" i="1"/>
  <c r="AA169" i="1"/>
  <c r="AB169" i="1"/>
  <c r="H170" i="1"/>
  <c r="T170" i="1"/>
  <c r="U170" i="1"/>
  <c r="F170" i="1" s="1"/>
  <c r="W170" i="1"/>
  <c r="X170" i="1"/>
  <c r="Y170" i="1"/>
  <c r="Z170" i="1"/>
  <c r="AA170" i="1"/>
  <c r="AB170" i="1"/>
  <c r="T171" i="1"/>
  <c r="V171" i="1"/>
  <c r="X171" i="1"/>
  <c r="Y171" i="1" s="1"/>
  <c r="Z171" i="1"/>
  <c r="AA171" i="1"/>
  <c r="AB171" i="1"/>
  <c r="Y172" i="1"/>
  <c r="F173" i="1"/>
  <c r="H173" i="1"/>
  <c r="T173" i="1"/>
  <c r="U173" i="1" s="1"/>
  <c r="V173" i="1"/>
  <c r="W173" i="1"/>
  <c r="Y173" i="1" s="1"/>
  <c r="X173" i="1"/>
  <c r="Z173" i="1"/>
  <c r="AA173" i="1"/>
  <c r="AB173" i="1"/>
  <c r="H174" i="1"/>
  <c r="T174" i="1"/>
  <c r="U174" i="1" s="1"/>
  <c r="V174" i="1" s="1"/>
  <c r="W174" i="1"/>
  <c r="Y174" i="1" s="1"/>
  <c r="X174" i="1"/>
  <c r="Z174" i="1"/>
  <c r="AA174" i="1"/>
  <c r="AB174" i="1"/>
  <c r="AB172" i="1" s="1"/>
  <c r="H175" i="1"/>
  <c r="T175" i="1"/>
  <c r="U175" i="1"/>
  <c r="V175" i="1"/>
  <c r="W175" i="1"/>
  <c r="X175" i="1"/>
  <c r="Y175" i="1"/>
  <c r="Z175" i="1"/>
  <c r="AA175" i="1"/>
  <c r="AB175" i="1"/>
  <c r="H176" i="1"/>
  <c r="T176" i="1"/>
  <c r="U176" i="1" s="1"/>
  <c r="F176" i="1" s="1"/>
  <c r="W176" i="1"/>
  <c r="Y176" i="1" s="1"/>
  <c r="X176" i="1"/>
  <c r="Z176" i="1"/>
  <c r="AA176" i="1"/>
  <c r="AB176" i="1"/>
  <c r="H177" i="1"/>
  <c r="S177" i="1"/>
  <c r="AA177" i="1" s="1"/>
  <c r="W177" i="1"/>
  <c r="Z177" i="1"/>
  <c r="AB177" i="1"/>
  <c r="T178" i="1"/>
  <c r="V178" i="1"/>
  <c r="X178" i="1"/>
  <c r="Y178" i="1" s="1"/>
  <c r="Z178" i="1"/>
  <c r="AA178" i="1"/>
  <c r="AB178" i="1"/>
  <c r="H180" i="1"/>
  <c r="T180" i="1"/>
  <c r="U180" i="1" s="1"/>
  <c r="W180" i="1"/>
  <c r="Y180" i="1" s="1"/>
  <c r="X180" i="1"/>
  <c r="Z180" i="1"/>
  <c r="AA180" i="1"/>
  <c r="AB180" i="1"/>
  <c r="H181" i="1"/>
  <c r="T181" i="1"/>
  <c r="U181" i="1"/>
  <c r="W181" i="1"/>
  <c r="Y181" i="1" s="1"/>
  <c r="X181" i="1"/>
  <c r="Z181" i="1"/>
  <c r="AA181" i="1"/>
  <c r="AB181" i="1"/>
  <c r="H182" i="1"/>
  <c r="T182" i="1"/>
  <c r="U182" i="1" s="1"/>
  <c r="W182" i="1"/>
  <c r="X182" i="1"/>
  <c r="Z182" i="1"/>
  <c r="AA182" i="1"/>
  <c r="AB182" i="1"/>
  <c r="H183" i="1"/>
  <c r="T183" i="1"/>
  <c r="U183" i="1"/>
  <c r="W183" i="1"/>
  <c r="X183" i="1"/>
  <c r="Z183" i="1"/>
  <c r="AA183" i="1"/>
  <c r="AB183" i="1"/>
  <c r="H184" i="1"/>
  <c r="T184" i="1"/>
  <c r="U184" i="1" s="1"/>
  <c r="W184" i="1"/>
  <c r="X184" i="1"/>
  <c r="Z184" i="1"/>
  <c r="AA184" i="1"/>
  <c r="AB184" i="1"/>
  <c r="H185" i="1"/>
  <c r="T185" i="1"/>
  <c r="U185" i="1"/>
  <c r="V185" i="1" s="1"/>
  <c r="W185" i="1"/>
  <c r="X185" i="1"/>
  <c r="Y185" i="1"/>
  <c r="Z185" i="1"/>
  <c r="AA185" i="1"/>
  <c r="AB185" i="1"/>
  <c r="H186" i="1"/>
  <c r="S186" i="1"/>
  <c r="T186" i="1" s="1"/>
  <c r="U186" i="1" s="1"/>
  <c r="F186" i="1" s="1"/>
  <c r="W186" i="1"/>
  <c r="Z186" i="1"/>
  <c r="AB186" i="1"/>
  <c r="H187" i="1"/>
  <c r="S187" i="1"/>
  <c r="W187" i="1"/>
  <c r="Z187" i="1"/>
  <c r="AA187" i="1"/>
  <c r="AB187" i="1"/>
  <c r="H188" i="1"/>
  <c r="T188" i="1"/>
  <c r="U188" i="1" s="1"/>
  <c r="W188" i="1"/>
  <c r="Y188" i="1" s="1"/>
  <c r="X188" i="1"/>
  <c r="Z188" i="1"/>
  <c r="AA188" i="1"/>
  <c r="AB188" i="1"/>
  <c r="H189" i="1"/>
  <c r="T189" i="1"/>
  <c r="U189" i="1" s="1"/>
  <c r="W189" i="1"/>
  <c r="X189" i="1"/>
  <c r="Z189" i="1"/>
  <c r="AA189" i="1"/>
  <c r="AB189" i="1"/>
  <c r="H190" i="1"/>
  <c r="T190" i="1"/>
  <c r="U190" i="1" s="1"/>
  <c r="W190" i="1"/>
  <c r="X190" i="1"/>
  <c r="Y190" i="1"/>
  <c r="Z190" i="1"/>
  <c r="AA190" i="1"/>
  <c r="AB190" i="1"/>
  <c r="F191" i="1"/>
  <c r="H191" i="1"/>
  <c r="T191" i="1"/>
  <c r="U191" i="1" s="1"/>
  <c r="V191" i="1"/>
  <c r="W191" i="1"/>
  <c r="Y191" i="1" s="1"/>
  <c r="X191" i="1"/>
  <c r="Z191" i="1"/>
  <c r="AA191" i="1"/>
  <c r="AB191" i="1"/>
  <c r="H192" i="1"/>
  <c r="T192" i="1"/>
  <c r="U192" i="1"/>
  <c r="W192" i="1"/>
  <c r="Y192" i="1" s="1"/>
  <c r="X192" i="1"/>
  <c r="Z192" i="1"/>
  <c r="AA192" i="1"/>
  <c r="AB192" i="1"/>
  <c r="H193" i="1"/>
  <c r="T193" i="1"/>
  <c r="U193" i="1" s="1"/>
  <c r="W193" i="1"/>
  <c r="X193" i="1"/>
  <c r="Z193" i="1"/>
  <c r="AA193" i="1"/>
  <c r="AB193" i="1"/>
  <c r="H194" i="1"/>
  <c r="T194" i="1"/>
  <c r="U194" i="1" s="1"/>
  <c r="W194" i="1"/>
  <c r="X194" i="1"/>
  <c r="Z194" i="1"/>
  <c r="AA194" i="1"/>
  <c r="AB194" i="1"/>
  <c r="H195" i="1"/>
  <c r="T195" i="1"/>
  <c r="U195" i="1" s="1"/>
  <c r="F195" i="1" s="1"/>
  <c r="W195" i="1"/>
  <c r="X195" i="1"/>
  <c r="Y195" i="1"/>
  <c r="Z195" i="1"/>
  <c r="AA195" i="1"/>
  <c r="AB195" i="1"/>
  <c r="F196" i="1"/>
  <c r="H196" i="1"/>
  <c r="T196" i="1"/>
  <c r="U196" i="1" s="1"/>
  <c r="V196" i="1"/>
  <c r="W196" i="1"/>
  <c r="Y196" i="1" s="1"/>
  <c r="X196" i="1"/>
  <c r="Z196" i="1"/>
  <c r="AA196" i="1"/>
  <c r="AB196" i="1"/>
  <c r="H197" i="1"/>
  <c r="T197" i="1"/>
  <c r="U197" i="1" s="1"/>
  <c r="W197" i="1"/>
  <c r="X197" i="1"/>
  <c r="Z197" i="1"/>
  <c r="AA197" i="1"/>
  <c r="AB197" i="1"/>
  <c r="H198" i="1"/>
  <c r="T198" i="1"/>
  <c r="U198" i="1" s="1"/>
  <c r="W198" i="1"/>
  <c r="X198" i="1"/>
  <c r="Y198" i="1" s="1"/>
  <c r="Z198" i="1"/>
  <c r="AA198" i="1"/>
  <c r="AB198" i="1"/>
  <c r="H199" i="1"/>
  <c r="T199" i="1"/>
  <c r="U199" i="1" s="1"/>
  <c r="F199" i="1" s="1"/>
  <c r="W199" i="1"/>
  <c r="X199" i="1"/>
  <c r="Y199" i="1"/>
  <c r="Z199" i="1"/>
  <c r="AA199" i="1"/>
  <c r="AB199" i="1"/>
  <c r="F200" i="1"/>
  <c r="H200" i="1"/>
  <c r="T200" i="1"/>
  <c r="U200" i="1"/>
  <c r="V200" i="1"/>
  <c r="W200" i="1"/>
  <c r="X200" i="1"/>
  <c r="Z200" i="1"/>
  <c r="AA200" i="1"/>
  <c r="AB200" i="1"/>
  <c r="H201" i="1"/>
  <c r="T201" i="1"/>
  <c r="U201" i="1" s="1"/>
  <c r="V201" i="1" s="1"/>
  <c r="W201" i="1"/>
  <c r="Y201" i="1" s="1"/>
  <c r="X201" i="1"/>
  <c r="Z201" i="1"/>
  <c r="AA201" i="1"/>
  <c r="AB201" i="1"/>
  <c r="H202" i="1"/>
  <c r="T202" i="1"/>
  <c r="U202" i="1"/>
  <c r="V202" i="1" s="1"/>
  <c r="W202" i="1"/>
  <c r="Y202" i="1" s="1"/>
  <c r="X202" i="1"/>
  <c r="Z202" i="1"/>
  <c r="AA202" i="1"/>
  <c r="AB202" i="1"/>
  <c r="H203" i="1"/>
  <c r="T203" i="1"/>
  <c r="U203" i="1" s="1"/>
  <c r="V203" i="1" s="1"/>
  <c r="W203" i="1"/>
  <c r="X203" i="1"/>
  <c r="Y203" i="1" s="1"/>
  <c r="Z203" i="1"/>
  <c r="AA203" i="1"/>
  <c r="AB203" i="1"/>
  <c r="H204" i="1"/>
  <c r="T204" i="1"/>
  <c r="U204" i="1"/>
  <c r="V204" i="1"/>
  <c r="W204" i="1"/>
  <c r="Y204" i="1" s="1"/>
  <c r="X204" i="1"/>
  <c r="Z204" i="1"/>
  <c r="AA204" i="1"/>
  <c r="AB204" i="1"/>
  <c r="H205" i="1"/>
  <c r="T205" i="1"/>
  <c r="U205" i="1" s="1"/>
  <c r="V205" i="1" s="1"/>
  <c r="W205" i="1"/>
  <c r="Y205" i="1" s="1"/>
  <c r="X205" i="1"/>
  <c r="Z205" i="1"/>
  <c r="AA205" i="1"/>
  <c r="AB205" i="1"/>
  <c r="H206" i="1"/>
  <c r="T206" i="1"/>
  <c r="U206" i="1"/>
  <c r="V206" i="1"/>
  <c r="W206" i="1"/>
  <c r="X206" i="1"/>
  <c r="Z206" i="1"/>
  <c r="AA206" i="1"/>
  <c r="AB206" i="1"/>
  <c r="H207" i="1"/>
  <c r="T207" i="1"/>
  <c r="U207" i="1" s="1"/>
  <c r="W207" i="1"/>
  <c r="X207" i="1"/>
  <c r="Z207" i="1"/>
  <c r="AA207" i="1"/>
  <c r="AB207" i="1"/>
  <c r="H208" i="1"/>
  <c r="T208" i="1"/>
  <c r="U208" i="1" s="1"/>
  <c r="W208" i="1"/>
  <c r="X208" i="1"/>
  <c r="Y208" i="1" s="1"/>
  <c r="Z208" i="1"/>
  <c r="AA208" i="1"/>
  <c r="AB208" i="1"/>
  <c r="H209" i="1"/>
  <c r="T209" i="1"/>
  <c r="U209" i="1"/>
  <c r="F209" i="1" s="1"/>
  <c r="W209" i="1"/>
  <c r="Y209" i="1" s="1"/>
  <c r="X209" i="1"/>
  <c r="Z209" i="1"/>
  <c r="AA209" i="1"/>
  <c r="AB209" i="1"/>
  <c r="T210" i="1"/>
  <c r="V210" i="1"/>
  <c r="X210" i="1"/>
  <c r="Y210" i="1"/>
  <c r="Z210" i="1"/>
  <c r="AA210" i="1"/>
  <c r="AB210" i="1"/>
  <c r="Y211" i="1"/>
  <c r="H212" i="1"/>
  <c r="T212" i="1"/>
  <c r="U212" i="1"/>
  <c r="F212" i="1" s="1"/>
  <c r="W212" i="1"/>
  <c r="Y212" i="1" s="1"/>
  <c r="X212" i="1"/>
  <c r="Z212" i="1"/>
  <c r="AA212" i="1"/>
  <c r="AB212" i="1"/>
  <c r="H213" i="1"/>
  <c r="T213" i="1"/>
  <c r="U213" i="1" s="1"/>
  <c r="W213" i="1"/>
  <c r="X213" i="1"/>
  <c r="Z213" i="1"/>
  <c r="AA213" i="1"/>
  <c r="AB213" i="1"/>
  <c r="H214" i="1"/>
  <c r="T214" i="1"/>
  <c r="U214" i="1" s="1"/>
  <c r="W214" i="1"/>
  <c r="X214" i="1"/>
  <c r="Z214" i="1"/>
  <c r="AA214" i="1"/>
  <c r="AB214" i="1"/>
  <c r="H215" i="1"/>
  <c r="T215" i="1"/>
  <c r="U215" i="1" s="1"/>
  <c r="W215" i="1"/>
  <c r="X215" i="1"/>
  <c r="Y215" i="1"/>
  <c r="Z215" i="1"/>
  <c r="AA215" i="1"/>
  <c r="AB215" i="1"/>
  <c r="F216" i="1"/>
  <c r="H216" i="1"/>
  <c r="T216" i="1"/>
  <c r="U216" i="1"/>
  <c r="V216" i="1"/>
  <c r="W216" i="1"/>
  <c r="X216" i="1"/>
  <c r="Y216" i="1"/>
  <c r="Z216" i="1"/>
  <c r="AA216" i="1"/>
  <c r="AB216" i="1"/>
  <c r="F217" i="1"/>
  <c r="H217" i="1"/>
  <c r="T217" i="1"/>
  <c r="U217" i="1"/>
  <c r="V217" i="1"/>
  <c r="W217" i="1"/>
  <c r="Y217" i="1" s="1"/>
  <c r="X217" i="1"/>
  <c r="Z217" i="1"/>
  <c r="AA217" i="1"/>
  <c r="AB217" i="1"/>
  <c r="T218" i="1"/>
  <c r="V218" i="1"/>
  <c r="X218" i="1"/>
  <c r="Y218" i="1" s="1"/>
  <c r="Z218" i="1"/>
  <c r="AA218" i="1"/>
  <c r="AB218" i="1"/>
  <c r="H220" i="1"/>
  <c r="T220" i="1"/>
  <c r="U220" i="1" s="1"/>
  <c r="W220" i="1"/>
  <c r="X220" i="1"/>
  <c r="Z220" i="1"/>
  <c r="AA220" i="1"/>
  <c r="AB220" i="1"/>
  <c r="H221" i="1"/>
  <c r="T221" i="1"/>
  <c r="U221" i="1" s="1"/>
  <c r="W221" i="1"/>
  <c r="Y221" i="1" s="1"/>
  <c r="X221" i="1"/>
  <c r="Z221" i="1"/>
  <c r="AA221" i="1"/>
  <c r="AB221" i="1"/>
  <c r="H222" i="1"/>
  <c r="T222" i="1"/>
  <c r="U222" i="1" s="1"/>
  <c r="W222" i="1"/>
  <c r="Y222" i="1" s="1"/>
  <c r="X222" i="1"/>
  <c r="Z222" i="1"/>
  <c r="AA222" i="1"/>
  <c r="AB222" i="1"/>
  <c r="H223" i="1"/>
  <c r="T223" i="1"/>
  <c r="U223" i="1" s="1"/>
  <c r="V223" i="1" s="1"/>
  <c r="W223" i="1"/>
  <c r="X223" i="1"/>
  <c r="Z223" i="1"/>
  <c r="AA223" i="1"/>
  <c r="AB223" i="1"/>
  <c r="H224" i="1"/>
  <c r="T224" i="1"/>
  <c r="U224" i="1"/>
  <c r="W224" i="1"/>
  <c r="Y224" i="1" s="1"/>
  <c r="X224" i="1"/>
  <c r="Z224" i="1"/>
  <c r="AA224" i="1"/>
  <c r="AB224" i="1"/>
  <c r="H225" i="1"/>
  <c r="T225" i="1"/>
  <c r="U225" i="1"/>
  <c r="F225" i="1" s="1"/>
  <c r="W225" i="1"/>
  <c r="X225" i="1"/>
  <c r="Y225" i="1"/>
  <c r="Z225" i="1"/>
  <c r="AA225" i="1"/>
  <c r="AB225" i="1"/>
  <c r="F226" i="1"/>
  <c r="H226" i="1"/>
  <c r="T226" i="1"/>
  <c r="U226" i="1"/>
  <c r="V226" i="1"/>
  <c r="W226" i="1"/>
  <c r="X226" i="1"/>
  <c r="Z226" i="1"/>
  <c r="AA226" i="1"/>
  <c r="AB226" i="1"/>
  <c r="H227" i="1"/>
  <c r="T227" i="1"/>
  <c r="U227" i="1" s="1"/>
  <c r="W227" i="1"/>
  <c r="X227" i="1"/>
  <c r="Z227" i="1"/>
  <c r="AA227" i="1"/>
  <c r="AB227" i="1"/>
  <c r="H228" i="1"/>
  <c r="T228" i="1"/>
  <c r="U228" i="1" s="1"/>
  <c r="W228" i="1"/>
  <c r="Y228" i="1" s="1"/>
  <c r="X228" i="1"/>
  <c r="Z228" i="1"/>
  <c r="AA228" i="1"/>
  <c r="AB228" i="1"/>
  <c r="H229" i="1"/>
  <c r="T229" i="1"/>
  <c r="U229" i="1"/>
  <c r="F229" i="1" s="1"/>
  <c r="W229" i="1"/>
  <c r="X229" i="1"/>
  <c r="Y229" i="1"/>
  <c r="Z229" i="1"/>
  <c r="AA229" i="1"/>
  <c r="AB229" i="1"/>
  <c r="F230" i="1"/>
  <c r="H230" i="1"/>
  <c r="T230" i="1"/>
  <c r="U230" i="1"/>
  <c r="V230" i="1"/>
  <c r="W230" i="1"/>
  <c r="X230" i="1"/>
  <c r="Z230" i="1"/>
  <c r="AA230" i="1"/>
  <c r="AB230" i="1"/>
  <c r="H231" i="1"/>
  <c r="T231" i="1"/>
  <c r="U231" i="1" s="1"/>
  <c r="W231" i="1"/>
  <c r="X231" i="1"/>
  <c r="Z231" i="1"/>
  <c r="AA231" i="1"/>
  <c r="AB231" i="1"/>
  <c r="T232" i="1"/>
  <c r="AA232" i="1"/>
  <c r="AA234" i="1"/>
  <c r="AA235" i="1"/>
  <c r="AA236" i="1"/>
  <c r="AA237" i="1"/>
  <c r="AA238" i="1"/>
  <c r="AA239" i="1"/>
  <c r="T240" i="1"/>
  <c r="AA240" i="1"/>
  <c r="T241" i="1"/>
  <c r="AA241" i="1"/>
  <c r="T242" i="1"/>
  <c r="AA242" i="1"/>
  <c r="P244" i="1"/>
  <c r="Q245" i="1" s="1"/>
  <c r="T245" i="1" s="1"/>
  <c r="AA244" i="1"/>
  <c r="T246" i="1"/>
  <c r="AA246" i="1"/>
  <c r="T247" i="1"/>
  <c r="AA247" i="1"/>
  <c r="T248" i="1"/>
  <c r="AA248" i="1"/>
  <c r="T249" i="1"/>
  <c r="AA249" i="1"/>
  <c r="T250" i="1"/>
  <c r="AA250" i="1"/>
  <c r="T251" i="1"/>
  <c r="AA251" i="1"/>
  <c r="T252" i="1"/>
  <c r="AA252" i="1"/>
  <c r="T253" i="1"/>
  <c r="AA253" i="1"/>
  <c r="T254" i="1"/>
  <c r="AA254" i="1"/>
  <c r="T255" i="1"/>
  <c r="AA255" i="1"/>
  <c r="T256" i="1"/>
  <c r="AA256" i="1"/>
  <c r="T257" i="1"/>
  <c r="AA257" i="1"/>
  <c r="T258" i="1"/>
  <c r="AA258" i="1"/>
  <c r="T259" i="1"/>
  <c r="AA259" i="1"/>
  <c r="T260" i="1"/>
  <c r="AA260" i="1"/>
  <c r="T261" i="1"/>
  <c r="AA261" i="1"/>
  <c r="T262" i="1"/>
  <c r="AA262" i="1"/>
  <c r="T263" i="1"/>
  <c r="AA263" i="1"/>
  <c r="T264" i="1"/>
  <c r="AA264" i="1"/>
  <c r="T265" i="1"/>
  <c r="AA265" i="1"/>
  <c r="T266" i="1"/>
  <c r="AA266" i="1"/>
  <c r="T267" i="1"/>
  <c r="AA267" i="1"/>
  <c r="T268" i="1"/>
  <c r="AA268" i="1"/>
  <c r="T269" i="1"/>
  <c r="AA269" i="1"/>
  <c r="T270" i="1"/>
  <c r="AA270" i="1"/>
  <c r="T271" i="1"/>
  <c r="AA271" i="1"/>
  <c r="T272" i="1"/>
  <c r="AA272" i="1"/>
  <c r="T273" i="1"/>
  <c r="AA273" i="1"/>
  <c r="T274" i="1"/>
  <c r="AA274" i="1"/>
  <c r="T275" i="1"/>
  <c r="AA275" i="1"/>
  <c r="T276" i="1"/>
  <c r="AA276" i="1"/>
  <c r="T277" i="1"/>
  <c r="AA277" i="1"/>
  <c r="T278" i="1"/>
  <c r="AA278" i="1"/>
  <c r="T279" i="1"/>
  <c r="AA279" i="1"/>
  <c r="T280" i="1"/>
  <c r="AA280" i="1"/>
  <c r="T281" i="1"/>
  <c r="AA281" i="1"/>
  <c r="T282" i="1"/>
  <c r="AA282" i="1"/>
  <c r="T283" i="1"/>
  <c r="AA283" i="1"/>
  <c r="T284" i="1"/>
  <c r="AA284" i="1"/>
  <c r="T285" i="1"/>
  <c r="AA285" i="1"/>
  <c r="T286" i="1"/>
  <c r="AA286" i="1"/>
  <c r="T287" i="1"/>
  <c r="AA287" i="1"/>
  <c r="T288" i="1"/>
  <c r="AA288" i="1"/>
  <c r="T289" i="1"/>
  <c r="AA289" i="1"/>
  <c r="T290" i="1"/>
  <c r="AA290" i="1"/>
  <c r="T291" i="1"/>
  <c r="AA291" i="1"/>
  <c r="T292" i="1"/>
  <c r="AA292" i="1"/>
  <c r="T293" i="1"/>
  <c r="AA293" i="1"/>
  <c r="T294" i="1"/>
  <c r="AA294" i="1"/>
  <c r="T295" i="1"/>
  <c r="AA295" i="1"/>
  <c r="T296" i="1"/>
  <c r="AA296" i="1"/>
  <c r="T297" i="1"/>
  <c r="AA297" i="1"/>
  <c r="T298" i="1"/>
  <c r="AA298" i="1"/>
  <c r="T299" i="1"/>
  <c r="AA299" i="1"/>
  <c r="T300" i="1"/>
  <c r="AA300" i="1"/>
  <c r="T301" i="1"/>
  <c r="AA301" i="1"/>
  <c r="T302" i="1"/>
  <c r="AA302" i="1"/>
  <c r="T303" i="1"/>
  <c r="AA303" i="1"/>
  <c r="T304" i="1"/>
  <c r="AA304" i="1"/>
  <c r="T305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F213" i="1" l="1"/>
  <c r="V213" i="1"/>
  <c r="F159" i="1"/>
  <c r="V159" i="1"/>
  <c r="F222" i="1"/>
  <c r="V222" i="1"/>
  <c r="AA219" i="1"/>
  <c r="F183" i="1"/>
  <c r="V183" i="1"/>
  <c r="K52" i="5"/>
  <c r="M54" i="5"/>
  <c r="Y223" i="1"/>
  <c r="Y213" i="1"/>
  <c r="Y197" i="1"/>
  <c r="F192" i="1"/>
  <c r="V192" i="1"/>
  <c r="F188" i="1"/>
  <c r="V188" i="1"/>
  <c r="Z179" i="1"/>
  <c r="AA172" i="1"/>
  <c r="V78" i="1"/>
  <c r="F78" i="1"/>
  <c r="Z58" i="1"/>
  <c r="Z53" i="1" s="1"/>
  <c r="V58" i="1"/>
  <c r="F215" i="5"/>
  <c r="F86" i="5"/>
  <c r="Z219" i="1"/>
  <c r="AB211" i="1"/>
  <c r="Y214" i="1"/>
  <c r="AA186" i="1"/>
  <c r="Y167" i="1"/>
  <c r="Y158" i="1"/>
  <c r="Y146" i="1"/>
  <c r="F137" i="1"/>
  <c r="V137" i="1"/>
  <c r="Z106" i="1"/>
  <c r="H89" i="1"/>
  <c r="Z89" i="1"/>
  <c r="Z82" i="1"/>
  <c r="AA43" i="1"/>
  <c r="AA42" i="1" s="1"/>
  <c r="C45" i="2"/>
  <c r="C59" i="2"/>
  <c r="F182" i="1"/>
  <c r="V182" i="1"/>
  <c r="AB149" i="1"/>
  <c r="Y230" i="1"/>
  <c r="V229" i="1"/>
  <c r="Y226" i="1"/>
  <c r="V225" i="1"/>
  <c r="Y206" i="1"/>
  <c r="T187" i="1"/>
  <c r="U187" i="1" s="1"/>
  <c r="F187" i="1" s="1"/>
  <c r="X187" i="1"/>
  <c r="Y187" i="1" s="1"/>
  <c r="Y182" i="1"/>
  <c r="AA179" i="1"/>
  <c r="H149" i="1"/>
  <c r="F146" i="1"/>
  <c r="V146" i="1"/>
  <c r="V115" i="1"/>
  <c r="V100" i="1"/>
  <c r="H82" i="1"/>
  <c r="AA27" i="1"/>
  <c r="K48" i="5"/>
  <c r="M50" i="5"/>
  <c r="M48" i="5" s="1"/>
  <c r="H35" i="1"/>
  <c r="F268" i="5"/>
  <c r="F262" i="5"/>
  <c r="F136" i="5"/>
  <c r="F98" i="5"/>
  <c r="K24" i="5"/>
  <c r="Y200" i="1"/>
  <c r="Y194" i="1"/>
  <c r="Y183" i="1"/>
  <c r="Y169" i="1"/>
  <c r="Y160" i="1"/>
  <c r="Y151" i="1"/>
  <c r="Y137" i="1"/>
  <c r="Y127" i="1"/>
  <c r="Y126" i="1"/>
  <c r="AB96" i="1"/>
  <c r="Y98" i="1"/>
  <c r="H96" i="1"/>
  <c r="AB82" i="1"/>
  <c r="Y83" i="1"/>
  <c r="Y78" i="1"/>
  <c r="H72" i="1"/>
  <c r="H65" i="1"/>
  <c r="Y66" i="1"/>
  <c r="Y55" i="1"/>
  <c r="H43" i="1"/>
  <c r="H42" i="1" s="1"/>
  <c r="AB35" i="1"/>
  <c r="AB27" i="1"/>
  <c r="AB26" i="1" s="1"/>
  <c r="F255" i="5"/>
  <c r="M62" i="5"/>
  <c r="F62" i="5"/>
  <c r="F60" i="5" s="1"/>
  <c r="M33" i="5"/>
  <c r="M31" i="5" s="1"/>
  <c r="K31" i="5"/>
  <c r="K29" i="5" s="1"/>
  <c r="M86" i="5"/>
  <c r="M60" i="5" s="1"/>
  <c r="Y154" i="1"/>
  <c r="AA149" i="1"/>
  <c r="Y130" i="1"/>
  <c r="Y80" i="1"/>
  <c r="AB65" i="1"/>
  <c r="AB53" i="1"/>
  <c r="V27" i="1"/>
  <c r="F210" i="5"/>
  <c r="F200" i="5"/>
  <c r="F179" i="5"/>
  <c r="F140" i="5"/>
  <c r="L290" i="5"/>
  <c r="F73" i="5"/>
  <c r="L60" i="5"/>
  <c r="M52" i="5"/>
  <c r="M29" i="5" s="1"/>
  <c r="F116" i="5"/>
  <c r="F111" i="5"/>
  <c r="F52" i="5"/>
  <c r="F228" i="1"/>
  <c r="V228" i="1"/>
  <c r="F208" i="1"/>
  <c r="V208" i="1"/>
  <c r="F221" i="1"/>
  <c r="V221" i="1"/>
  <c r="F94" i="1"/>
  <c r="V94" i="1"/>
  <c r="F80" i="1"/>
  <c r="V80" i="1"/>
  <c r="F194" i="1"/>
  <c r="V194" i="1"/>
  <c r="F190" i="1"/>
  <c r="V190" i="1"/>
  <c r="F163" i="1"/>
  <c r="V163" i="1"/>
  <c r="F66" i="1"/>
  <c r="V66" i="1"/>
  <c r="V56" i="1"/>
  <c r="F56" i="1"/>
  <c r="AA26" i="1"/>
  <c r="Z26" i="1"/>
  <c r="V48" i="1"/>
  <c r="AB42" i="1"/>
  <c r="F113" i="1"/>
  <c r="V113" i="1"/>
  <c r="F103" i="1"/>
  <c r="V103" i="1"/>
  <c r="F74" i="1"/>
  <c r="V74" i="1"/>
  <c r="V70" i="1"/>
  <c r="F70" i="1"/>
  <c r="F276" i="5"/>
  <c r="F224" i="1"/>
  <c r="V224" i="1"/>
  <c r="F215" i="1"/>
  <c r="V215" i="1"/>
  <c r="F214" i="1"/>
  <c r="V214" i="1"/>
  <c r="F180" i="1"/>
  <c r="V180" i="1"/>
  <c r="T73" i="1"/>
  <c r="U73" i="1" s="1"/>
  <c r="X73" i="1"/>
  <c r="M103" i="5"/>
  <c r="F227" i="1"/>
  <c r="V227" i="1"/>
  <c r="T177" i="1"/>
  <c r="U177" i="1" s="1"/>
  <c r="X177" i="1"/>
  <c r="Y177" i="1" s="1"/>
  <c r="F138" i="1"/>
  <c r="V138" i="1"/>
  <c r="F102" i="1"/>
  <c r="V102" i="1"/>
  <c r="F231" i="1"/>
  <c r="V231" i="1"/>
  <c r="F207" i="1"/>
  <c r="V207" i="1"/>
  <c r="F193" i="1"/>
  <c r="V193" i="1"/>
  <c r="T92" i="1"/>
  <c r="U92" i="1" s="1"/>
  <c r="X92" i="1"/>
  <c r="Y92" i="1" s="1"/>
  <c r="F79" i="1"/>
  <c r="V79" i="1"/>
  <c r="F69" i="1"/>
  <c r="V69" i="1"/>
  <c r="F22" i="5"/>
  <c r="K22" i="5"/>
  <c r="K17" i="5" s="1"/>
  <c r="Z149" i="1"/>
  <c r="H106" i="1"/>
  <c r="Z96" i="1"/>
  <c r="H53" i="1"/>
  <c r="H27" i="1"/>
  <c r="T244" i="1"/>
  <c r="V209" i="1"/>
  <c r="V195" i="1"/>
  <c r="V186" i="1"/>
  <c r="AB179" i="1"/>
  <c r="V114" i="1"/>
  <c r="T87" i="1"/>
  <c r="U87" i="1" s="1"/>
  <c r="V77" i="1"/>
  <c r="V76" i="1" s="1"/>
  <c r="C43" i="2"/>
  <c r="F17" i="5"/>
  <c r="P243" i="1"/>
  <c r="Y227" i="1"/>
  <c r="AB219" i="1"/>
  <c r="Y220" i="1"/>
  <c r="Z211" i="1"/>
  <c r="V212" i="1"/>
  <c r="V199" i="1"/>
  <c r="Y189" i="1"/>
  <c r="Y184" i="1"/>
  <c r="V176" i="1"/>
  <c r="V170" i="1"/>
  <c r="Y162" i="1"/>
  <c r="Y147" i="1"/>
  <c r="Y138" i="1"/>
  <c r="AB106" i="1"/>
  <c r="Y107" i="1"/>
  <c r="Y102" i="1"/>
  <c r="Y93" i="1"/>
  <c r="Y87" i="1"/>
  <c r="Y86" i="1"/>
  <c r="AA76" i="1"/>
  <c r="H76" i="1"/>
  <c r="Y73" i="1"/>
  <c r="AA72" i="1"/>
  <c r="AA70" i="1"/>
  <c r="AA65" i="1" s="1"/>
  <c r="Z65" i="1"/>
  <c r="Z43" i="1"/>
  <c r="Z35" i="1"/>
  <c r="F285" i="5"/>
  <c r="F194" i="5"/>
  <c r="F127" i="5"/>
  <c r="F31" i="5"/>
  <c r="F181" i="1"/>
  <c r="V181" i="1"/>
  <c r="F99" i="1"/>
  <c r="V99" i="1"/>
  <c r="F98" i="1"/>
  <c r="V98" i="1"/>
  <c r="F220" i="1"/>
  <c r="V220" i="1"/>
  <c r="F189" i="1"/>
  <c r="V189" i="1"/>
  <c r="F184" i="1"/>
  <c r="V184" i="1"/>
  <c r="F147" i="1"/>
  <c r="V147" i="1"/>
  <c r="T97" i="1"/>
  <c r="U97" i="1" s="1"/>
  <c r="X97" i="1"/>
  <c r="Y97" i="1" s="1"/>
  <c r="F93" i="1"/>
  <c r="V93" i="1"/>
  <c r="F86" i="1"/>
  <c r="V86" i="1"/>
  <c r="F198" i="1"/>
  <c r="V198" i="1"/>
  <c r="F197" i="1"/>
  <c r="V197" i="1"/>
  <c r="F55" i="1"/>
  <c r="V55" i="1"/>
  <c r="F37" i="1"/>
  <c r="V37" i="1"/>
  <c r="V35" i="1" s="1"/>
  <c r="AA245" i="1"/>
  <c r="H219" i="1"/>
  <c r="H172" i="1"/>
  <c r="AA106" i="1"/>
  <c r="AA87" i="1"/>
  <c r="AA82" i="1" s="1"/>
  <c r="Y231" i="1"/>
  <c r="AA211" i="1"/>
  <c r="H211" i="1"/>
  <c r="Y207" i="1"/>
  <c r="Y193" i="1"/>
  <c r="H179" i="1"/>
  <c r="Z172" i="1"/>
  <c r="Y144" i="1"/>
  <c r="Y109" i="1"/>
  <c r="Y79" i="1"/>
  <c r="Y70" i="1"/>
  <c r="Y69" i="1"/>
  <c r="AA53" i="1"/>
  <c r="Z48" i="1"/>
  <c r="V43" i="1"/>
  <c r="V42" i="1" s="1"/>
  <c r="AA35" i="1"/>
  <c r="M276" i="5"/>
  <c r="M100" i="5"/>
  <c r="M98" i="5" s="1"/>
  <c r="X186" i="1"/>
  <c r="Y186" i="1" s="1"/>
  <c r="X74" i="1"/>
  <c r="Y74" i="1" s="1"/>
  <c r="F126" i="5" l="1"/>
  <c r="Z42" i="1"/>
  <c r="AB233" i="1"/>
  <c r="Y233" i="1" s="1"/>
  <c r="V149" i="1"/>
  <c r="V187" i="1"/>
  <c r="V54" i="1"/>
  <c r="V53" i="1" s="1"/>
  <c r="F178" i="5"/>
  <c r="V211" i="1"/>
  <c r="V106" i="1"/>
  <c r="F110" i="5"/>
  <c r="F29" i="5"/>
  <c r="K60" i="5"/>
  <c r="AA233" i="1"/>
  <c r="H233" i="1"/>
  <c r="F92" i="1"/>
  <c r="V92" i="1"/>
  <c r="V89" i="1" s="1"/>
  <c r="F177" i="1"/>
  <c r="V177" i="1"/>
  <c r="V172" i="1" s="1"/>
  <c r="F97" i="1"/>
  <c r="V97" i="1"/>
  <c r="V96" i="1" s="1"/>
  <c r="V87" i="1"/>
  <c r="V82" i="1" s="1"/>
  <c r="F87" i="1"/>
  <c r="F73" i="1"/>
  <c r="V73" i="1"/>
  <c r="V72" i="1" s="1"/>
  <c r="T243" i="1"/>
  <c r="Q243" i="1"/>
  <c r="AA243" i="1" s="1"/>
  <c r="M22" i="5"/>
  <c r="M17" i="5" s="1"/>
  <c r="V179" i="1"/>
  <c r="V65" i="1"/>
  <c r="V219" i="1"/>
  <c r="AC42" i="1"/>
  <c r="Z233" i="1"/>
  <c r="W233" i="1" s="1"/>
  <c r="L12" i="5" l="1"/>
  <c r="V233" i="1"/>
  <c r="X233" i="1"/>
  <c r="AA22" i="1"/>
  <c r="AA8" i="1"/>
  <c r="B7" i="3"/>
  <c r="B9" i="3" s="1"/>
  <c r="B8" i="3"/>
  <c r="B10" i="3" s="1"/>
  <c r="B15" i="3" l="1"/>
  <c r="B11" i="3"/>
  <c r="B16" i="3" s="1"/>
  <c r="M117" i="5" l="1"/>
  <c r="M116" i="5" l="1"/>
  <c r="M110" i="5" s="1"/>
  <c r="M151" i="5"/>
  <c r="M140" i="5" s="1"/>
  <c r="M290" i="5" s="1"/>
  <c r="L13" i="5" l="1"/>
</calcChain>
</file>

<file path=xl/sharedStrings.xml><?xml version="1.0" encoding="utf-8"?>
<sst xmlns="http://schemas.openxmlformats.org/spreadsheetml/2006/main" count="1587" uniqueCount="923">
  <si>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</si>
  <si>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</si>
  <si>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</si>
  <si>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</si>
  <si>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</si>
  <si>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</si>
  <si>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</si>
  <si>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</si>
  <si>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</si>
  <si>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</si>
  <si>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</si>
  <si>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</si>
  <si>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</si>
  <si>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</si>
  <si>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</si>
  <si>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</si>
  <si>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</si>
  <si>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</si>
  <si>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</si>
  <si>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</si>
  <si>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</si>
  <si>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</si>
  <si>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</si>
  <si>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</si>
  <si>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</si>
  <si>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</si>
  <si>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</si>
  <si>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</si>
  <si>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</si>
  <si>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</si>
  <si>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</si>
  <si>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</si>
  <si>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</si>
  <si>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</si>
  <si>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</si>
  <si>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</si>
  <si>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</si>
  <si>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</si>
  <si>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</si>
  <si>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</si>
  <si>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</si>
  <si>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</si>
  <si>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</si>
  <si>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</si>
  <si>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</si>
  <si>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</si>
  <si>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</si>
  <si>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</si>
  <si>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</si>
  <si>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</si>
  <si>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</si>
  <si>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</si>
  <si>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</si>
  <si>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</si>
  <si>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</si>
  <si>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</si>
  <si>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</si>
  <si>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</si>
  <si>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</si>
  <si>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</si>
  <si>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</si>
  <si>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</si>
  <si>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</si>
  <si>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</si>
  <si>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</si>
  <si>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</si>
  <si>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</si>
  <si>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</si>
  <si>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</si>
  <si>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</si>
  <si>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</si>
  <si>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</si>
  <si>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</si>
  <si>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</si>
  <si>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</si>
  <si>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</si>
  <si>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</si>
  <si>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</si>
  <si>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</si>
  <si>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</si>
  <si>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</si>
  <si>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</si>
  <si>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</si>
  <si>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</si>
  <si>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</si>
  <si>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</si>
  <si>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</si>
  <si>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</si>
  <si>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</si>
  <si>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</si>
  <si>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</si>
  <si>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</si>
  <si>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</si>
  <si>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</si>
  <si>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</si>
  <si>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</si>
  <si>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</si>
  <si>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</si>
  <si>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</si>
  <si>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</si>
  <si>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</si>
  <si>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</si>
  <si>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</si>
  <si>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</si>
  <si>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</si>
  <si>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</si>
  <si>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</si>
  <si>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</si>
  <si>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</si>
  <si>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</si>
  <si>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</si>
  <si>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</si>
  <si>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</si>
  <si>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</si>
  <si>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</si>
  <si>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</si>
  <si>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</si>
  <si>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</si>
  <si>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</si>
  <si>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</si>
  <si>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</si>
  <si>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</si>
  <si>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</si>
  <si>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</si>
  <si>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</si>
  <si>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</si>
  <si>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</si>
  <si>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</si>
  <si>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</si>
  <si>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</si>
  <si>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</si>
  <si>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</si>
  <si>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</si>
  <si>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</si>
  <si>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</si>
  <si>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</si>
  <si>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</si>
  <si>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</si>
  <si>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</si>
  <si>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</si>
  <si>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</si>
  <si>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</si>
  <si>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</si>
  <si>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</si>
  <si>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</si>
  <si>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</si>
  <si>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</si>
  <si>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</si>
  <si>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</si>
  <si>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</si>
  <si>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</si>
  <si>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</si>
  <si>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</si>
  <si>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</si>
  <si>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</si>
  <si>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</si>
  <si>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</si>
  <si>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</si>
  <si>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</si>
  <si>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</si>
  <si>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</si>
  <si>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</si>
  <si>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</si>
  <si>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</si>
  <si>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</si>
  <si>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</si>
  <si>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</si>
  <si>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</si>
  <si>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</si>
  <si>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</si>
  <si>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</si>
  <si>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</si>
  <si>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</si>
  <si>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</si>
  <si>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</si>
  <si>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</si>
  <si>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</si>
  <si>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</si>
  <si>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</si>
  <si>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</si>
  <si>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</si>
  <si>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</si>
  <si>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</si>
  <si>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</si>
  <si>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</si>
  <si>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</si>
  <si>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</si>
  <si>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</si>
  <si>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</si>
  <si>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</si>
  <si>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</si>
  <si>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</si>
  <si>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</si>
  <si>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</si>
  <si>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</si>
  <si>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</si>
  <si>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</si>
  <si>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</si>
  <si>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</si>
  <si>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</si>
  <si>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</si>
  <si>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</si>
  <si>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</si>
  <si>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</si>
  <si>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</si>
  <si>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</si>
  <si>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</si>
  <si>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</si>
  <si>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</si>
  <si>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</si>
  <si>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</si>
  <si>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</si>
  <si>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</si>
  <si>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</si>
  <si>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</si>
  <si>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</si>
  <si>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</si>
  <si>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</si>
  <si>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</si>
  <si>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</si>
  <si>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</si>
  <si>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</si>
  <si>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</si>
  <si>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</si>
  <si>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</si>
  <si>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</si>
  <si>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</si>
  <si>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</si>
  <si>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</si>
  <si>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</si>
  <si>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</si>
  <si>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</si>
  <si>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</si>
  <si>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</si>
  <si>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</si>
  <si>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</si>
  <si>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</si>
  <si>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</si>
  <si>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</si>
  <si>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</si>
  <si>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</si>
  <si>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</si>
  <si>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</si>
  <si>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</si>
  <si>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</si>
  <si>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</si>
  <si>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</si>
  <si>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</si>
  <si>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</si>
  <si>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</si>
  <si>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</si>
  <si>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</si>
  <si>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</si>
  <si>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</si>
  <si>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</si>
  <si>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</si>
  <si>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</si>
  <si>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</si>
  <si>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</si>
  <si>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</si>
  <si>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</si>
  <si>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</si>
  <si>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</si>
  <si>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</si>
  <si>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</si>
  <si>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</si>
  <si>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</si>
  <si>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</si>
  <si>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</si>
  <si>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</si>
  <si>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</si>
  <si>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</si>
  <si>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</si>
  <si>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</si>
  <si>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</si>
  <si>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</si>
  <si>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</si>
  <si>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</si>
  <si>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</si>
  <si>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</si>
  <si>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</si>
  <si>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</si>
  <si>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</si>
  <si>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</si>
  <si>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</si>
  <si>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</si>
  <si>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</si>
  <si>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</si>
  <si>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</si>
  <si>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</si>
  <si>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</si>
  <si>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</si>
  <si>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</si>
  <si>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</si>
  <si>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</si>
  <si>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</si>
  <si>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</si>
  <si>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</si>
  <si>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</si>
  <si>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</si>
  <si>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</si>
  <si>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</si>
  <si>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</si>
  <si>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</si>
  <si>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</si>
  <si>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</si>
  <si>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</si>
  <si>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</si>
  <si>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</si>
  <si>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</si>
  <si>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</si>
  <si>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</si>
  <si>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</si>
  <si>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</si>
  <si>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</si>
  <si>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</si>
  <si>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</si>
  <si>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</si>
  <si>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</si>
  <si>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</si>
  <si>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</si>
  <si>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</si>
  <si>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</si>
  <si>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</si>
  <si>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</si>
  <si>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</si>
  <si>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</si>
  <si>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</si>
  <si>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</si>
  <si>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</si>
  <si>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</si>
  <si>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</si>
  <si>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</si>
  <si>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</si>
  <si>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</si>
  <si>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</si>
  <si>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</si>
  <si>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</si>
  <si>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</si>
  <si>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</si>
  <si>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</si>
  <si>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</si>
  <si>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</si>
  <si>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</si>
  <si>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</si>
  <si>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</si>
  <si>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</si>
  <si>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</si>
  <si>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</si>
  <si>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</si>
  <si>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</si>
  <si>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</si>
  <si>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</si>
  <si>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</si>
  <si>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</si>
  <si>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</si>
  <si>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</si>
  <si>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</si>
  <si>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</si>
  <si>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</si>
  <si>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</si>
  <si>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</si>
  <si>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</si>
  <si>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</si>
  <si>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</si>
  <si>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</si>
  <si>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</si>
  <si>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</si>
  <si>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</si>
  <si>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</si>
  <si>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</si>
  <si>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</si>
  <si>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</si>
  <si>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</si>
  <si>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</si>
  <si>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</si>
  <si>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</si>
  <si>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</si>
  <si>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</si>
  <si>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</si>
  <si>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</si>
  <si>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</si>
  <si>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</si>
  <si>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</si>
  <si>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</si>
  <si>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</si>
  <si>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</si>
  <si>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</si>
  <si>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</si>
  <si>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</si>
  <si>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</si>
  <si>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</si>
  <si>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</si>
  <si>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</si>
  <si>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</si>
  <si>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</si>
  <si>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</si>
  <si>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</si>
  <si>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</si>
  <si>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</si>
  <si>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</si>
  <si>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</si>
  <si>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</si>
  <si>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</si>
  <si>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</si>
  <si>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</si>
  <si>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</si>
  <si>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</si>
  <si>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</si>
  <si>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</si>
  <si>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</si>
  <si>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</si>
  <si>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</si>
  <si>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</si>
  <si>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</si>
  <si>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</si>
  <si>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</si>
  <si>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</si>
  <si>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</si>
  <si>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</si>
  <si>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</si>
  <si>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</si>
  <si>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</si>
  <si>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</si>
  <si>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</si>
  <si>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</si>
  <si>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</si>
  <si>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</si>
  <si>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</si>
  <si>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</si>
  <si>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</si>
  <si>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</si>
  <si>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</si>
  <si>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</si>
  <si>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</si>
  <si>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</si>
  <si>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</si>
  <si>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</si>
  <si>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</si>
  <si>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</si>
  <si>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</si>
  <si>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</si>
  <si>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</si>
  <si>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</si>
  <si>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</si>
  <si>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</si>
  <si>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</si>
  <si>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</si>
  <si>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</si>
  <si>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</si>
  <si>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</si>
  <si>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</si>
  <si>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</si>
  <si>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</si>
  <si>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</si>
  <si>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</si>
  <si>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</si>
  <si>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</si>
  <si>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</si>
  <si>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</si>
  <si>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</si>
  <si>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</si>
  <si>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</si>
  <si>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</si>
  <si>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</si>
  <si>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</si>
  <si>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</si>
  <si>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</si>
  <si>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</si>
  <si>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</si>
  <si>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</si>
  <si>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</si>
  <si>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</si>
  <si>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</si>
  <si>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</si>
  <si>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</si>
  <si>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</si>
  <si>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</si>
  <si>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</si>
  <si>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</si>
  <si>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</si>
  <si>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</si>
  <si>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</si>
  <si>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</si>
  <si>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</si>
  <si>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</si>
  <si>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</si>
  <si>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</si>
  <si>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</si>
  <si>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</si>
  <si>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</si>
  <si>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</si>
  <si>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</si>
  <si>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</si>
  <si>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</si>
  <si>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</si>
  <si>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</si>
  <si>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</si>
  <si>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</si>
  <si>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</si>
  <si>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</si>
  <si>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</si>
  <si>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</si>
  <si>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</si>
  <si>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</si>
  <si>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</si>
  <si>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</si>
  <si>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</si>
  <si>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</si>
  <si>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</si>
  <si>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</si>
  <si>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</si>
  <si>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</si>
  <si>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</si>
  <si>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</si>
  <si>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</si>
  <si>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</si>
  <si>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</si>
  <si>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</si>
  <si>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</si>
  <si>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</si>
  <si>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</si>
  <si>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</si>
  <si>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</si>
  <si>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</si>
  <si>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</si>
  <si>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</si>
  <si>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</si>
  <si>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</si>
  <si>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</si>
  <si>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</si>
  <si>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</si>
  <si>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</si>
  <si>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</si>
  <si>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</si>
  <si>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</si>
  <si>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</si>
  <si>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</si>
  <si>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</si>
  <si>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</si>
  <si>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</si>
  <si>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</si>
  <si>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</si>
  <si>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</si>
  <si>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</si>
  <si>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</si>
  <si>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</si>
  <si>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</si>
  <si>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</si>
  <si>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</si>
  <si>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</si>
  <si>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</si>
  <si>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</si>
  <si>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</si>
  <si>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</si>
  <si>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</si>
  <si>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</si>
  <si>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</si>
  <si>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</si>
  <si>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</si>
  <si>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</si>
  <si>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</si>
  <si>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</si>
  <si>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</si>
  <si>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</si>
  <si>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</si>
  <si>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</si>
  <si>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</si>
  <si>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</si>
  <si>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</si>
  <si>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</si>
  <si>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</si>
  <si>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</si>
  <si>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</si>
  <si>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</si>
  <si>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</si>
  <si>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</si>
  <si>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</si>
  <si>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</si>
  <si>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</si>
  <si>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</si>
  <si>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</si>
  <si>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</si>
  <si>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</si>
  <si>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</si>
  <si>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</si>
  <si>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</si>
  <si>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</si>
  <si>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</si>
  <si>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</si>
  <si>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</si>
  <si>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</si>
  <si>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</si>
  <si>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</si>
  <si>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</si>
  <si>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</si>
  <si>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</si>
  <si>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</si>
  <si>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</si>
  <si>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</si>
  <si>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</si>
  <si>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</si>
  <si>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</si>
  <si>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</si>
  <si>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</si>
  <si>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</si>
  <si>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</si>
  <si>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</si>
  <si>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</si>
  <si>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</si>
  <si>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</si>
  <si>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</si>
  <si>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</si>
  <si>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</si>
  <si>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</si>
  <si>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</si>
  <si>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</si>
  <si>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</si>
  <si>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</si>
  <si>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</si>
  <si>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</si>
  <si>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</si>
  <si>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</si>
  <si>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</si>
  <si>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</si>
  <si>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</si>
  <si>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</si>
  <si>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</si>
  <si>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</si>
  <si>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</si>
  <si>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</si>
  <si>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</si>
  <si>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</si>
  <si>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</si>
  <si>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</si>
  <si>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</si>
  <si>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</si>
  <si>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</si>
  <si>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</si>
  <si>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</si>
  <si>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</si>
  <si>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</si>
  <si>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</si>
  <si>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</si>
  <si>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</si>
  <si>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</si>
  <si>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</si>
  <si>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</si>
  <si>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</si>
  <si>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</si>
  <si>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</si>
  <si>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</si>
  <si>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</si>
  <si>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</si>
  <si>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</si>
  <si>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</si>
  <si>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</si>
  <si>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</si>
  <si>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</si>
  <si>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</si>
  <si>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</si>
  <si>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</si>
  <si>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</si>
  <si>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</si>
  <si>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</si>
  <si>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</si>
  <si>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</si>
  <si>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</si>
  <si>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</si>
  <si>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</si>
  <si>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</si>
  <si>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</si>
  <si>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</si>
  <si>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</si>
  <si>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</si>
  <si>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</si>
  <si>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</si>
  <si>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</si>
  <si>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</si>
  <si>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</si>
  <si>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</si>
  <si>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</si>
  <si>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</si>
  <si>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</si>
  <si>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</si>
  <si>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</si>
  <si>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</si>
  <si>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</si>
  <si>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</si>
  <si>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8.1.8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</si>
  <si>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</si>
  <si>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</si>
  <si>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</si>
  <si>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</si>
  <si>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</si>
  <si>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</si>
  <si>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</si>
  <si>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</si>
  <si>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</si>
  <si>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</si>
  <si>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</si>
  <si>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</si>
  <si>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</si>
  <si>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</si>
  <si>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</si>
  <si>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</si>
  <si>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</si>
  <si>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</si>
  <si>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</si>
  <si>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</si>
  <si>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</si>
  <si>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</si>
  <si>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</si>
  <si>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</si>
  <si>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</si>
  <si>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</si>
  <si>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</si>
  <si>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</si>
  <si>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</si>
  <si>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</si>
  <si>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</si>
  <si>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</si>
  <si>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</si>
  <si>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</si>
  <si>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</si>
  <si>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</si>
  <si>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</si>
  <si>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</si>
  <si>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</si>
  <si>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</si>
  <si>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</si>
  <si>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</si>
  <si>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</si>
  <si>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</si>
  <si>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</si>
  <si>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</si>
  <si>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</si>
  <si>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</si>
  <si>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</si>
  <si>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</si>
  <si>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</si>
  <si>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</si>
  <si>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</si>
  <si>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</si>
  <si>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</si>
  <si>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</si>
  <si>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</si>
  <si>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</si>
  <si>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</si>
  <si>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</si>
  <si>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</si>
  <si>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</si>
  <si>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</si>
  <si>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</si>
  <si>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</si>
  <si>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</si>
  <si>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</si>
  <si>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</si>
  <si>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</si>
  <si>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</si>
  <si>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</si>
  <si>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</si>
  <si>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</si>
  <si>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</si>
  <si>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</si>
  <si>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</si>
  <si>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</si>
  <si>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</si>
  <si>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</si>
  <si>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</si>
  <si>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</si>
  <si>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</si>
  <si>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</si>
  <si>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</si>
  <si>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</si>
  <si>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</si>
  <si>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</si>
  <si>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</si>
  <si>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</si>
  <si>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</si>
  <si>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</si>
  <si>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</si>
  <si>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</si>
  <si>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</si>
  <si>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</si>
  <si>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</si>
  <si>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</si>
  <si>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</si>
  <si>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</si>
  <si>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</si>
  <si>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</si>
  <si>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</si>
  <si>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</si>
  <si>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</si>
  <si>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</si>
  <si>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</si>
  <si>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</si>
  <si>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</si>
  <si>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</si>
  <si>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</si>
  <si>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</si>
  <si>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</si>
  <si>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</si>
  <si>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</si>
  <si>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</si>
  <si>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</si>
  <si>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</si>
  <si>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</si>
  <si>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</si>
  <si>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</si>
  <si>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</si>
  <si>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</si>
  <si>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</si>
  <si>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</si>
  <si>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</si>
  <si>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</si>
  <si>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</si>
  <si>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</si>
  <si>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</si>
  <si>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</si>
  <si>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</si>
  <si>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</si>
  <si>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</si>
  <si>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</si>
  <si>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</si>
  <si>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</si>
  <si>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</si>
  <si>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</si>
  <si>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</si>
  <si>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</si>
  <si>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</si>
  <si>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</si>
  <si>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</si>
  <si>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</si>
  <si>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</si>
  <si>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</si>
  <si>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</si>
  <si>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</si>
  <si>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</si>
  <si>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</si>
  <si>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</si>
  <si>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</si>
  <si>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</si>
  <si>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</si>
  <si>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</si>
  <si>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</si>
  <si>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</si>
  <si>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</si>
  <si>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</si>
  <si>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</si>
  <si>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</si>
  <si>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</si>
  <si>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</si>
  <si>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</si>
  <si>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</si>
  <si>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</si>
  <si>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</si>
  <si>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</si>
  <si>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</si>
  <si>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</si>
  <si>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</si>
  <si>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</si>
  <si>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</si>
  <si>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</si>
  <si>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</si>
  <si>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</si>
  <si>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</si>
  <si>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</si>
  <si>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</si>
  <si>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</si>
  <si>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</si>
  <si>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</si>
  <si>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</si>
  <si>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</si>
  <si>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</si>
  <si>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</si>
  <si>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</si>
  <si>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</si>
  <si>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</si>
  <si>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</si>
  <si>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</si>
  <si>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</si>
  <si>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</si>
  <si>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</si>
  <si>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</si>
  <si>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</si>
  <si>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</si>
  <si>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</si>
  <si>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</si>
  <si>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</si>
  <si>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</si>
  <si>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</si>
  <si>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</si>
  <si>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</si>
  <si>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</si>
  <si>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</si>
  <si>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</si>
  <si>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</si>
  <si>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</si>
  <si>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</si>
  <si>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</si>
  <si>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</si>
  <si>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</si>
  <si>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</si>
  <si>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</si>
  <si>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</si>
  <si>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</si>
  <si>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</si>
  <si>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</si>
  <si>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=</t>
  </si>
  <si>
    <t>4.4.5</t>
  </si>
  <si>
    <t>4.4.6</t>
  </si>
  <si>
    <t xml:space="preserve">Verga pré-moldada para janelas com mais de 1,5m de vão. </t>
  </si>
  <si>
    <t xml:space="preserve">Contraverga pré-moldada com mais de1,5m de comprimento. </t>
  </si>
  <si>
    <t>4.3.8</t>
  </si>
  <si>
    <t>4.3.9</t>
  </si>
  <si>
    <t xml:space="preserve">Armação de laje de uma estrutura convencional de concreto armado em uma edificação térrea ou sobrado utilizando aço CA-60 de 5,0 mm - montagem, </t>
  </si>
  <si>
    <t xml:space="preserve">Armação de laje de uma estrutura convencional de concreto armado em uma edificação térrea ou sobrado utilizando aço CA-50 de 6.3 mm - montagem, </t>
  </si>
  <si>
    <t>Vigas Superiores(Térreo, Platibanda e Caixa D'água)</t>
  </si>
  <si>
    <t>Porta em madeira de lei, de correr, LIsa, semi-oca 0,90x2,10m, inclusive batentes e ferragens</t>
  </si>
  <si>
    <t>Porta em madeira compensada (canela), lisa, semi-oca, 2,00 x 2,10 m, com duas folhas, inclusive batentes e ferragens</t>
  </si>
  <si>
    <t>12ª</t>
  </si>
  <si>
    <t>01/04/2024 a 28/08/2024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</si>
</sst>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5" fillId="0" borderId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7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36" fillId="0" borderId="0" xfId="2" applyAlignment="1">
      <alignment horizontal="center"/>
    </xf>
    <xf numFmtId="0" fontId="36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43" fontId="4" fillId="0" borderId="1" xfId="1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43" fontId="25" fillId="0" borderId="0" xfId="0" applyNumberFormat="1" applyFont="1" applyAlignment="1">
      <alignment horizontal="center" vertical="center" wrapText="1"/>
    </xf>
    <xf numFmtId="43" fontId="29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3" fontId="3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 wrapText="1"/>
    </xf>
    <xf numFmtId="44" fontId="24" fillId="0" borderId="1" xfId="3" applyFont="1" applyFill="1" applyBorder="1" applyAlignment="1">
      <alignment horizontal="right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right" vertical="center" wrapText="1"/>
    </xf>
    <xf numFmtId="43" fontId="25" fillId="0" borderId="1" xfId="11" applyFont="1" applyFill="1" applyBorder="1" applyAlignment="1">
      <alignment vertical="center" wrapText="1"/>
    </xf>
    <xf numFmtId="43" fontId="24" fillId="0" borderId="1" xfId="1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4" fontId="24" fillId="0" borderId="1" xfId="3" applyNumberFormat="1" applyFont="1" applyFill="1" applyBorder="1" applyAlignment="1">
      <alignment horizontal="right" vertical="center" wrapText="1"/>
    </xf>
    <xf numFmtId="169" fontId="24" fillId="0" borderId="1" xfId="3" applyNumberFormat="1" applyFont="1" applyFill="1" applyBorder="1" applyAlignment="1">
      <alignment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4" fontId="24" fillId="0" borderId="1" xfId="3" applyFont="1" applyFill="1" applyBorder="1" applyAlignment="1">
      <alignment vertical="center" wrapText="1"/>
    </xf>
    <xf numFmtId="44" fontId="25" fillId="0" borderId="1" xfId="3" applyFont="1" applyFill="1" applyBorder="1" applyAlignment="1">
      <alignment vertical="center" wrapText="1"/>
    </xf>
    <xf numFmtId="43" fontId="25" fillId="0" borderId="1" xfId="3" applyNumberFormat="1" applyFont="1" applyFill="1" applyBorder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0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9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9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1" xfId="0" applyFont="1" applyFill="1" applyBorder="1" applyAlignment="1">
      <alignment horizontal="centerContinuous"/>
    </xf>
    <xf numFmtId="0" fontId="11" fillId="6" borderId="12" xfId="0" applyFont="1" applyFill="1" applyBorder="1" applyAlignment="1">
      <alignment horizontal="centerContinuous"/>
    </xf>
    <xf numFmtId="0" fontId="11" fillId="6" borderId="13" xfId="0" applyFont="1" applyFill="1" applyBorder="1" applyAlignment="1">
      <alignment horizontal="centerContinuous"/>
    </xf>
    <xf numFmtId="0" fontId="23" fillId="3" borderId="0" xfId="0" applyFont="1" applyFill="1" applyAlignment="1">
      <alignment horizontal="left" vertical="center" wrapText="1"/>
    </xf>
    <xf numFmtId="4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0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43" fontId="41" fillId="0" borderId="0" xfId="11" applyFont="1" applyFill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43" fontId="42" fillId="0" borderId="0" xfId="0" applyNumberFormat="1" applyFont="1" applyAlignment="1">
      <alignment horizontal="center" vertical="center" wrapText="1"/>
    </xf>
    <xf numFmtId="4" fontId="4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" fontId="37" fillId="7" borderId="0" xfId="0" applyNumberFormat="1" applyFont="1" applyFill="1" applyAlignment="1">
      <alignment vertical="center" wrapText="1"/>
    </xf>
    <xf numFmtId="43" fontId="4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9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9" fontId="4" fillId="0" borderId="1" xfId="11" applyNumberFormat="1" applyFont="1" applyFill="1" applyBorder="1" applyAlignment="1">
      <alignment horizontal="center" vertical="center" wrapText="1"/>
    </xf>
    <xf numFmtId="2" fontId="4" fillId="0" borderId="1" xfId="11" applyNumberFormat="1" applyFont="1" applyFill="1" applyBorder="1" applyAlignment="1">
      <alignment horizontal="center" vertical="center" wrapText="1"/>
    </xf>
    <xf numFmtId="169" fontId="24" fillId="0" borderId="1" xfId="11" applyNumberFormat="1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4" fontId="4" fillId="0" borderId="1" xfId="11" applyNumberFormat="1" applyFont="1" applyFill="1" applyBorder="1" applyAlignment="1">
      <alignment horizontal="center" vertical="center" wrapText="1"/>
    </xf>
    <xf numFmtId="4" fontId="3" fillId="0" borderId="1" xfId="11" applyNumberFormat="1" applyFont="1" applyFill="1" applyBorder="1" applyAlignment="1">
      <alignment horizontal="center" vertical="center" wrapText="1"/>
    </xf>
    <xf numFmtId="44" fontId="4" fillId="0" borderId="1" xfId="11" applyNumberFormat="1" applyFont="1" applyFill="1" applyBorder="1" applyAlignment="1">
      <alignment horizontal="center" vertical="center" wrapText="1"/>
    </xf>
    <xf numFmtId="44" fontId="3" fillId="0" borderId="1" xfId="11" applyNumberFormat="1" applyFont="1" applyFill="1" applyBorder="1" applyAlignment="1">
      <alignment horizontal="center" vertical="center" wrapText="1"/>
    </xf>
    <xf numFmtId="169" fontId="20" fillId="0" borderId="1" xfId="11" applyNumberFormat="1" applyFont="1" applyFill="1" applyBorder="1" applyAlignment="1">
      <alignment horizontal="center" vertical="center" wrapText="1"/>
    </xf>
    <xf numFmtId="2" fontId="24" fillId="0" borderId="1" xfId="1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9" fontId="4" fillId="0" borderId="0" xfId="3" applyNumberFormat="1" applyFont="1" applyFill="1" applyAlignment="1">
      <alignment vertical="center" wrapText="1"/>
    </xf>
    <xf numFmtId="0" fontId="24" fillId="8" borderId="1" xfId="0" applyFont="1" applyFill="1" applyBorder="1" applyAlignment="1">
      <alignment horizontal="center" vertical="center" wrapText="1"/>
    </xf>
    <xf numFmtId="44" fontId="24" fillId="8" borderId="1" xfId="3" applyFont="1" applyFill="1" applyBorder="1" applyAlignment="1">
      <alignment horizontal="center" vertical="center" wrapText="1"/>
    </xf>
    <xf numFmtId="4" fontId="25" fillId="8" borderId="1" xfId="3" applyNumberFormat="1" applyFont="1" applyFill="1" applyBorder="1" applyAlignment="1">
      <alignment horizontal="center" vertical="center" wrapText="1"/>
    </xf>
    <xf numFmtId="44" fontId="25" fillId="8" borderId="1" xfId="3" applyFont="1" applyFill="1" applyBorder="1" applyAlignment="1">
      <alignment horizontal="center" vertical="center" wrapText="1"/>
    </xf>
    <xf numFmtId="44" fontId="25" fillId="8" borderId="1" xfId="3" applyFont="1" applyFill="1" applyBorder="1" applyAlignment="1">
      <alignment horizontal="right" vertical="center" wrapText="1"/>
    </xf>
    <xf numFmtId="4" fontId="28" fillId="8" borderId="1" xfId="0" applyNumberFormat="1" applyFont="1" applyFill="1" applyBorder="1" applyAlignment="1">
      <alignment vertical="center"/>
    </xf>
    <xf numFmtId="43" fontId="24" fillId="8" borderId="1" xfId="3" applyNumberFormat="1" applyFont="1" applyFill="1" applyBorder="1" applyAlignment="1">
      <alignment horizontal="center" vertical="center" wrapText="1"/>
    </xf>
    <xf numFmtId="4" fontId="24" fillId="8" borderId="1" xfId="3" applyNumberFormat="1" applyFont="1" applyFill="1" applyBorder="1" applyAlignment="1">
      <alignment horizontal="center" vertical="center" wrapText="1"/>
    </xf>
    <xf numFmtId="43" fontId="29" fillId="8" borderId="0" xfId="0" applyNumberFormat="1" applyFont="1" applyFill="1" applyAlignment="1">
      <alignment horizontal="center" vertical="center" wrapText="1"/>
    </xf>
    <xf numFmtId="0" fontId="25" fillId="8" borderId="0" xfId="0" applyFont="1" applyFill="1" applyAlignment="1">
      <alignment vertical="center" wrapText="1"/>
    </xf>
    <xf numFmtId="4" fontId="24" fillId="8" borderId="1" xfId="11" applyNumberFormat="1" applyFont="1" applyFill="1" applyBorder="1" applyAlignment="1">
      <alignment vertical="center" wrapText="1"/>
    </xf>
    <xf numFmtId="169" fontId="24" fillId="8" borderId="1" xfId="3" applyNumberFormat="1" applyFont="1" applyFill="1" applyBorder="1" applyAlignment="1">
      <alignment horizontal="center" vertical="center" wrapText="1"/>
    </xf>
    <xf numFmtId="0" fontId="25" fillId="8" borderId="0" xfId="0" applyFont="1" applyFill="1" applyAlignment="1">
      <alignment vertical="center"/>
    </xf>
    <xf numFmtId="43" fontId="24" fillId="8" borderId="1" xfId="11" applyFont="1" applyFill="1" applyBorder="1" applyAlignment="1">
      <alignment horizontal="right" vertical="center" wrapText="1"/>
    </xf>
    <xf numFmtId="44" fontId="25" fillId="8" borderId="0" xfId="0" applyNumberFormat="1" applyFont="1" applyFill="1" applyAlignment="1">
      <alignment vertical="center" wrapText="1"/>
    </xf>
    <xf numFmtId="43" fontId="24" fillId="8" borderId="1" xfId="11" applyFont="1" applyFill="1" applyBorder="1" applyAlignment="1">
      <alignment vertical="center" wrapText="1"/>
    </xf>
    <xf numFmtId="43" fontId="25" fillId="8" borderId="0" xfId="0" applyNumberFormat="1" applyFont="1" applyFill="1" applyAlignment="1">
      <alignment horizontal="center" vertical="center" wrapText="1"/>
    </xf>
    <xf numFmtId="4" fontId="37" fillId="8" borderId="0" xfId="0" applyNumberFormat="1" applyFont="1" applyFill="1" applyAlignment="1">
      <alignment vertical="center"/>
    </xf>
    <xf numFmtId="44" fontId="25" fillId="8" borderId="1" xfId="3" applyFont="1" applyFill="1" applyBorder="1" applyAlignment="1">
      <alignment vertical="center" wrapText="1"/>
    </xf>
    <xf numFmtId="4" fontId="40" fillId="8" borderId="0" xfId="0" applyNumberFormat="1" applyFont="1" applyFill="1" applyAlignment="1">
      <alignment vertical="center"/>
    </xf>
    <xf numFmtId="43" fontId="25" fillId="8" borderId="1" xfId="11" applyFont="1" applyFill="1" applyBorder="1" applyAlignment="1">
      <alignment vertical="center" wrapText="1"/>
    </xf>
    <xf numFmtId="44" fontId="24" fillId="8" borderId="1" xfId="3" applyFont="1" applyFill="1" applyBorder="1" applyAlignment="1">
      <alignment vertical="center" wrapText="1"/>
    </xf>
    <xf numFmtId="43" fontId="24" fillId="8" borderId="1" xfId="3" applyNumberFormat="1" applyFont="1" applyFill="1" applyBorder="1" applyAlignment="1">
      <alignment horizontal="right" vertical="center" wrapText="1"/>
    </xf>
    <xf numFmtId="169" fontId="24" fillId="8" borderId="1" xfId="3" applyNumberFormat="1" applyFont="1" applyFill="1" applyBorder="1" applyAlignment="1">
      <alignment horizontal="right" vertical="center" wrapText="1"/>
    </xf>
    <xf numFmtId="43" fontId="24" fillId="8" borderId="0" xfId="0" applyNumberFormat="1" applyFont="1" applyFill="1" applyAlignment="1">
      <alignment horizontal="center" vertical="center" wrapText="1"/>
    </xf>
    <xf numFmtId="0" fontId="24" fillId="8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44" fontId="4" fillId="0" borderId="4" xfId="0" applyNumberFormat="1" applyFont="1" applyBorder="1" applyAlignment="1">
      <alignment vertical="center" wrapText="1"/>
    </xf>
    <xf numFmtId="44" fontId="4" fillId="0" borderId="4" xfId="3" applyFont="1" applyFill="1" applyBorder="1" applyAlignment="1">
      <alignment horizontal="right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43" fontId="4" fillId="0" borderId="4" xfId="11" applyFont="1" applyFill="1" applyBorder="1" applyAlignment="1">
      <alignment vertical="center" wrapText="1"/>
    </xf>
    <xf numFmtId="0" fontId="25" fillId="8" borderId="8" xfId="0" applyFont="1" applyFill="1" applyBorder="1" applyAlignment="1">
      <alignment vertical="center" wrapText="1"/>
    </xf>
    <xf numFmtId="43" fontId="37" fillId="8" borderId="0" xfId="0" applyNumberFormat="1" applyFont="1" applyFill="1" applyAlignment="1">
      <alignment horizontal="center" vertical="center" wrapText="1"/>
    </xf>
    <xf numFmtId="43" fontId="25" fillId="8" borderId="1" xfId="3" applyNumberFormat="1" applyFont="1" applyFill="1" applyBorder="1" applyAlignment="1">
      <alignment vertical="center" wrapText="1"/>
    </xf>
    <xf numFmtId="169" fontId="24" fillId="8" borderId="1" xfId="3" applyNumberFormat="1" applyFont="1" applyFill="1" applyBorder="1" applyAlignment="1">
      <alignment vertical="center" wrapText="1"/>
    </xf>
    <xf numFmtId="2" fontId="24" fillId="8" borderId="1" xfId="3" applyNumberFormat="1" applyFont="1" applyFill="1" applyBorder="1" applyAlignment="1">
      <alignment horizontal="center" vertical="center" wrapText="1"/>
    </xf>
    <xf numFmtId="2" fontId="24" fillId="8" borderId="1" xfId="3" applyNumberFormat="1" applyFont="1" applyFill="1" applyBorder="1" applyAlignment="1">
      <alignment vertical="center" wrapText="1"/>
    </xf>
    <xf numFmtId="43" fontId="24" fillId="8" borderId="1" xfId="3" applyNumberFormat="1" applyFont="1" applyFill="1" applyBorder="1" applyAlignment="1">
      <alignment vertical="center" wrapText="1"/>
    </xf>
    <xf numFmtId="43" fontId="3" fillId="8" borderId="0" xfId="0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43" fontId="25" fillId="8" borderId="1" xfId="0" applyNumberFormat="1" applyFont="1" applyFill="1" applyBorder="1" applyAlignment="1">
      <alignment vertical="center" wrapText="1"/>
    </xf>
    <xf numFmtId="4" fontId="4" fillId="0" borderId="14" xfId="11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3" fontId="24" fillId="0" borderId="1" xfId="3" applyNumberFormat="1" applyFont="1" applyFill="1" applyBorder="1" applyAlignment="1">
      <alignment vertical="center" wrapText="1"/>
    </xf>
    <xf numFmtId="169" fontId="25" fillId="0" borderId="1" xfId="3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vertical="center" wrapText="1"/>
    </xf>
    <xf numFmtId="10" fontId="4" fillId="0" borderId="0" xfId="11" applyNumberFormat="1" applyFont="1" applyFill="1" applyAlignment="1">
      <alignment horizontal="center" vertical="center"/>
    </xf>
    <xf numFmtId="10" fontId="25" fillId="8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0" fontId="24" fillId="0" borderId="1" xfId="3" applyNumberFormat="1" applyFont="1" applyFill="1" applyBorder="1" applyAlignment="1">
      <alignment horizontal="center" vertical="center" wrapText="1"/>
    </xf>
    <xf numFmtId="10" fontId="24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10" fontId="25" fillId="0" borderId="1" xfId="3" applyNumberFormat="1" applyFont="1" applyFill="1" applyBorder="1" applyAlignment="1">
      <alignment horizontal="center" vertical="center" wrapText="1"/>
    </xf>
    <xf numFmtId="10" fontId="24" fillId="8" borderId="1" xfId="3" applyNumberFormat="1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4" fontId="4" fillId="0" borderId="0" xfId="11" applyNumberFormat="1" applyFont="1" applyFill="1" applyAlignment="1">
      <alignment horizontal="center" vertical="center"/>
    </xf>
    <xf numFmtId="4" fontId="41" fillId="0" borderId="1" xfId="3" applyNumberFormat="1" applyFont="1" applyFill="1" applyBorder="1" applyAlignment="1">
      <alignment horizontal="center" vertical="center" wrapText="1"/>
    </xf>
    <xf numFmtId="2" fontId="41" fillId="0" borderId="1" xfId="3" applyNumberFormat="1" applyFont="1" applyFill="1" applyBorder="1" applyAlignment="1">
      <alignment horizontal="center" vertical="center" wrapText="1"/>
    </xf>
    <xf numFmtId="169" fontId="4" fillId="0" borderId="4" xfId="3" applyNumberFormat="1" applyFont="1" applyFill="1" applyBorder="1" applyAlignment="1">
      <alignment horizontal="center" vertical="center" wrapText="1"/>
    </xf>
    <xf numFmtId="44" fontId="41" fillId="0" borderId="1" xfId="3" applyFont="1" applyFill="1" applyBorder="1" applyAlignment="1">
      <alignment horizontal="right" vertical="center" wrapText="1"/>
    </xf>
    <xf numFmtId="43" fontId="41" fillId="0" borderId="1" xfId="11" applyFont="1" applyFill="1" applyBorder="1" applyAlignment="1">
      <alignment vertical="center" wrapText="1"/>
    </xf>
    <xf numFmtId="0" fontId="41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/>
    </xf>
    <xf numFmtId="14" fontId="29" fillId="0" borderId="0" xfId="0" applyNumberFormat="1" applyFont="1" applyAlignment="1">
      <alignment vertical="center" wrapText="1"/>
    </xf>
    <xf numFmtId="14" fontId="4" fillId="0" borderId="0" xfId="11" applyNumberFormat="1" applyFont="1" applyFill="1" applyAlignment="1">
      <alignment horizontal="center" vertical="center"/>
    </xf>
    <xf numFmtId="170" fontId="4" fillId="0" borderId="0" xfId="11" applyNumberFormat="1" applyFont="1" applyFill="1" applyAlignment="1">
      <alignment horizontal="center" vertical="center"/>
    </xf>
    <xf numFmtId="43" fontId="43" fillId="0" borderId="0" xfId="0" applyNumberFormat="1" applyFont="1" applyAlignment="1">
      <alignment horizontal="center" vertical="center" wrapText="1"/>
    </xf>
    <xf numFmtId="43" fontId="38" fillId="0" borderId="0" xfId="0" applyNumberFormat="1" applyFont="1" applyAlignment="1">
      <alignment horizontal="center" vertical="center" wrapText="1"/>
    </xf>
    <xf numFmtId="43" fontId="43" fillId="8" borderId="8" xfId="0" applyNumberFormat="1" applyFont="1" applyFill="1" applyBorder="1" applyAlignment="1">
      <alignment horizontal="center" vertical="center" wrapText="1"/>
    </xf>
    <xf numFmtId="169" fontId="41" fillId="0" borderId="1" xfId="3" applyNumberFormat="1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center" vertical="center" wrapText="1"/>
    </xf>
    <xf numFmtId="43" fontId="44" fillId="8" borderId="14" xfId="0" applyNumberFormat="1" applyFont="1" applyFill="1" applyBorder="1" applyAlignment="1">
      <alignment horizontal="center" vertical="center" wrapText="1"/>
    </xf>
    <xf numFmtId="44" fontId="41" fillId="0" borderId="1" xfId="3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169" fontId="4" fillId="0" borderId="4" xfId="11" applyNumberFormat="1" applyFont="1" applyFill="1" applyBorder="1" applyAlignment="1">
      <alignment horizontal="right" vertical="center" wrapText="1"/>
    </xf>
    <xf numFmtId="169" fontId="4" fillId="0" borderId="1" xfId="11" applyNumberFormat="1" applyFont="1" applyFill="1" applyBorder="1" applyAlignment="1">
      <alignment horizontal="right" vertical="center" wrapText="1"/>
    </xf>
    <xf numFmtId="169" fontId="24" fillId="0" borderId="1" xfId="11" applyNumberFormat="1" applyFont="1" applyFill="1" applyBorder="1" applyAlignment="1">
      <alignment horizontal="right" vertical="center" wrapText="1"/>
    </xf>
    <xf numFmtId="2" fontId="4" fillId="0" borderId="1" xfId="11" applyNumberFormat="1" applyFont="1" applyFill="1" applyBorder="1" applyAlignment="1">
      <alignment horizontal="right" vertical="center" wrapText="1"/>
    </xf>
    <xf numFmtId="4" fontId="4" fillId="0" borderId="1" xfId="11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24" fillId="0" borderId="1" xfId="11" applyNumberFormat="1" applyFont="1" applyFill="1" applyBorder="1" applyAlignment="1">
      <alignment horizontal="right" vertical="center" wrapText="1"/>
    </xf>
    <xf numFmtId="169" fontId="20" fillId="0" borderId="1" xfId="11" applyNumberFormat="1" applyFont="1" applyFill="1" applyBorder="1" applyAlignment="1">
      <alignment horizontal="right" vertical="center" wrapText="1"/>
    </xf>
    <xf numFmtId="4" fontId="24" fillId="8" borderId="1" xfId="3" applyNumberFormat="1" applyFont="1" applyFill="1" applyBorder="1" applyAlignment="1">
      <alignment horizontal="right" vertical="center" wrapText="1"/>
    </xf>
    <xf numFmtId="44" fontId="4" fillId="0" borderId="1" xfId="11" applyNumberFormat="1" applyFont="1" applyFill="1" applyBorder="1" applyAlignment="1">
      <alignment horizontal="right" vertical="center" wrapText="1"/>
    </xf>
    <xf numFmtId="169" fontId="24" fillId="8" borderId="1" xfId="11" applyNumberFormat="1" applyFont="1" applyFill="1" applyBorder="1" applyAlignment="1">
      <alignment horizontal="right" vertical="center" wrapText="1"/>
    </xf>
    <xf numFmtId="43" fontId="24" fillId="0" borderId="1" xfId="11" applyFont="1" applyFill="1" applyBorder="1" applyAlignment="1">
      <alignment horizontal="right" vertical="center" wrapText="1"/>
    </xf>
    <xf numFmtId="43" fontId="24" fillId="8" borderId="1" xfId="0" applyNumberFormat="1" applyFont="1" applyFill="1" applyBorder="1" applyAlignment="1">
      <alignment horizontal="right" vertical="center" wrapText="1"/>
    </xf>
    <xf numFmtId="43" fontId="24" fillId="0" borderId="1" xfId="0" applyNumberFormat="1" applyFont="1" applyBorder="1" applyAlignment="1">
      <alignment horizontal="right" vertical="center" wrapText="1"/>
    </xf>
    <xf numFmtId="0" fontId="24" fillId="8" borderId="7" xfId="0" applyFont="1" applyFill="1" applyBorder="1" applyAlignment="1">
      <alignment horizontal="left" vertical="center" wrapText="1"/>
    </xf>
    <xf numFmtId="0" fontId="24" fillId="8" borderId="2" xfId="0" applyFont="1" applyFill="1" applyBorder="1" applyAlignment="1">
      <alignment horizontal="left" vertical="center" wrapText="1"/>
    </xf>
    <xf numFmtId="0" fontId="24" fillId="8" borderId="9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3" fillId="0" borderId="7" xfId="11" applyNumberFormat="1" applyFont="1" applyFill="1" applyBorder="1" applyAlignment="1" applyProtection="1">
      <alignment horizontal="center" vertical="center" wrapText="1"/>
    </xf>
    <xf numFmtId="168" fontId="3" fillId="0" borderId="9" xfId="1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7" xfId="8" applyNumberFormat="1" applyFont="1" applyFill="1" applyBorder="1" applyAlignment="1" applyProtection="1">
      <alignment horizontal="center" vertical="center" wrapText="1"/>
    </xf>
    <xf numFmtId="10" fontId="3" fillId="0" borderId="2" xfId="8" applyNumberFormat="1" applyFont="1" applyFill="1" applyBorder="1" applyAlignment="1" applyProtection="1">
      <alignment horizontal="center" vertical="center" wrapText="1"/>
    </xf>
    <xf numFmtId="10" fontId="3" fillId="0" borderId="9" xfId="8" applyNumberFormat="1" applyFont="1" applyFill="1" applyBorder="1" applyAlignment="1" applyProtection="1">
      <alignment horizontal="center" vertical="center" wrapText="1"/>
    </xf>
    <xf numFmtId="167" fontId="4" fillId="0" borderId="7" xfId="11" applyNumberFormat="1" applyFont="1" applyFill="1" applyBorder="1" applyAlignment="1">
      <alignment horizontal="center" vertical="center"/>
    </xf>
    <xf numFmtId="167" fontId="4" fillId="0" borderId="2" xfId="11" applyNumberFormat="1" applyFont="1" applyFill="1" applyBorder="1" applyAlignment="1">
      <alignment horizontal="center" vertical="center"/>
    </xf>
    <xf numFmtId="167" fontId="4" fillId="0" borderId="9" xfId="11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1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9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9" xfId="11" applyNumberFormat="1" applyFont="1" applyFill="1" applyBorder="1" applyAlignment="1">
      <alignment horizontal="left" vertical="center" wrapText="1"/>
    </xf>
    <xf numFmtId="14" fontId="3" fillId="0" borderId="7" xfId="0" applyNumberFormat="1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9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</cellXfs>
  <cellStyles count="14">
    <cellStyle name="Excel Built-in Normal" xfId="1" xr:uid="{00000000-0005-0000-0000-000000000000}"/>
    <cellStyle name="Hiperlink" xfId="2" builtinId="8"/>
    <cellStyle name="Moeda" xfId="3" builtinId="4"/>
    <cellStyle name="Moeda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Porcentagem" xfId="8" builtinId="5"/>
    <cellStyle name="Porcentagem 2" xfId="9" xr:uid="{00000000-0005-0000-0000-000009000000}"/>
    <cellStyle name="Porcentagem 2 2" xfId="10" xr:uid="{00000000-0005-0000-0000-00000A000000}"/>
    <cellStyle name="Separador de milhares 2" xfId="12" xr:uid="{00000000-0005-0000-0000-00000C000000}"/>
    <cellStyle name="Vírgula" xfId="11" builtinId="3"/>
    <cellStyle name="Vírgula 5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7" name="Picture 2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8" name="Picture 2">
          <a:extLst>
            <a:ext uri="{FF2B5EF4-FFF2-40B4-BE49-F238E27FC236}">
              <a16:creationId xmlns:a16="http://schemas.microsoft.com/office/drawing/2014/main" id="{00000000-0008-0000-0300-00002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9" name="Picture 2">
          <a:extLst>
            <a:ext uri="{FF2B5EF4-FFF2-40B4-BE49-F238E27FC236}">
              <a16:creationId xmlns:a16="http://schemas.microsoft.com/office/drawing/2014/main" id="{00000000-0008-0000-0300-00002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40" name="Picture 2">
          <a:extLst>
            <a:ext uri="{FF2B5EF4-FFF2-40B4-BE49-F238E27FC236}">
              <a16:creationId xmlns:a16="http://schemas.microsoft.com/office/drawing/2014/main" id="{00000000-0008-0000-0300-00002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385692</xdr:colOff>
      <xdr:row>3</xdr:row>
      <xdr:rowOff>0</xdr:rowOff>
    </xdr:to>
    <xdr:pic>
      <xdr:nvPicPr>
        <xdr:cNvPr id="4141" name="Imagem 5">
          <a:extLst>
            <a:ext uri="{FF2B5EF4-FFF2-40B4-BE49-F238E27FC236}">
              <a16:creationId xmlns:a16="http://schemas.microsoft.com/office/drawing/2014/main" id="{00000000-0008-0000-0300-00002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5455" y="0"/>
          <a:ext cx="3524250" cy="874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 x14ac:dyDescent="0.2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 x14ac:dyDescent="0.25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 x14ac:dyDescent="0.25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330" t="s">
        <v>4</v>
      </c>
      <c r="Y2" s="330"/>
      <c r="Z2" s="325"/>
      <c r="AA2" s="325" t="s">
        <v>5</v>
      </c>
      <c r="AB2" s="325"/>
    </row>
    <row r="3" spans="1:32" ht="21" hidden="1" customHeight="1" x14ac:dyDescent="0.25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331" t="s">
        <v>7</v>
      </c>
      <c r="Y3" s="331"/>
      <c r="Z3" s="324"/>
      <c r="AA3" s="324">
        <v>42718</v>
      </c>
      <c r="AB3" s="324"/>
    </row>
    <row r="4" spans="1:32" ht="19.5" hidden="1" customHeight="1" x14ac:dyDescent="0.25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332" t="s">
        <v>11</v>
      </c>
      <c r="Y4" s="333"/>
      <c r="Z4" s="334"/>
      <c r="AA4" s="325" t="s">
        <v>12</v>
      </c>
      <c r="AB4" s="325"/>
      <c r="AC4" s="25"/>
    </row>
    <row r="5" spans="1:32" ht="19.5" hidden="1" customHeight="1" x14ac:dyDescent="0.25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317">
        <v>43135</v>
      </c>
      <c r="Y5" s="318"/>
      <c r="Z5" s="319"/>
      <c r="AA5" s="324" t="s">
        <v>15</v>
      </c>
      <c r="AB5" s="324"/>
      <c r="AC5" s="26"/>
      <c r="AD5" s="26"/>
      <c r="AE5" s="26"/>
      <c r="AF5" s="26"/>
    </row>
    <row r="6" spans="1:32" ht="19.5" hidden="1" customHeight="1" x14ac:dyDescent="0.25">
      <c r="A6" s="144" t="s">
        <v>16</v>
      </c>
      <c r="B6" s="144"/>
      <c r="C6" s="144"/>
      <c r="D6" s="144"/>
      <c r="E6" s="144"/>
      <c r="F6" s="158"/>
      <c r="G6" s="144"/>
      <c r="H6" s="326" t="s">
        <v>17</v>
      </c>
      <c r="I6" s="327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9"/>
      <c r="X6" s="329"/>
      <c r="Y6" s="329"/>
      <c r="Z6" s="326"/>
      <c r="AA6" s="325" t="s">
        <v>18</v>
      </c>
      <c r="AB6" s="325"/>
      <c r="AC6" s="26"/>
      <c r="AD6" s="26"/>
      <c r="AE6" s="26"/>
      <c r="AF6" s="26"/>
    </row>
    <row r="7" spans="1:32" ht="29.25" hidden="1" customHeight="1" x14ac:dyDescent="0.25">
      <c r="A7" s="145" t="s">
        <v>19</v>
      </c>
      <c r="B7" s="145"/>
      <c r="C7" s="145"/>
      <c r="D7" s="145"/>
      <c r="E7" s="145"/>
      <c r="F7" s="160"/>
      <c r="G7" s="145"/>
      <c r="H7" s="320" t="s">
        <v>20</v>
      </c>
      <c r="I7" s="321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3"/>
      <c r="X7" s="323"/>
      <c r="Y7" s="323"/>
      <c r="Z7" s="320"/>
      <c r="AA7" s="316">
        <v>550194.43999999994</v>
      </c>
      <c r="AB7" s="316"/>
      <c r="AC7" s="26"/>
      <c r="AD7" s="26"/>
      <c r="AE7" s="26"/>
      <c r="AF7" s="26"/>
    </row>
    <row r="8" spans="1:32" ht="30" hidden="1" customHeight="1" x14ac:dyDescent="0.25">
      <c r="A8" s="345" t="s">
        <v>21</v>
      </c>
      <c r="B8" s="345"/>
      <c r="C8" s="345"/>
      <c r="D8" s="346"/>
      <c r="E8" s="346"/>
      <c r="F8" s="347"/>
      <c r="G8" s="346"/>
      <c r="H8" s="346"/>
      <c r="I8" s="348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50"/>
      <c r="X8" s="350"/>
      <c r="Y8" s="350"/>
      <c r="Z8" s="346"/>
      <c r="AA8" s="316" t="e">
        <f>AA233</f>
        <v>#REF!</v>
      </c>
      <c r="AB8" s="316"/>
      <c r="AC8" s="26"/>
      <c r="AD8" s="26"/>
      <c r="AE8" s="26"/>
      <c r="AF8" s="26"/>
    </row>
    <row r="9" spans="1:32" ht="15.75" hidden="1" x14ac:dyDescent="0.25">
      <c r="A9" s="336" t="s">
        <v>6</v>
      </c>
      <c r="B9" s="337"/>
      <c r="C9" s="337"/>
      <c r="D9" s="338"/>
      <c r="E9" s="338"/>
      <c r="F9" s="337"/>
      <c r="G9" s="338"/>
      <c r="H9" s="338"/>
      <c r="I9" s="337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 x14ac:dyDescent="0.25">
      <c r="A10" s="336"/>
      <c r="B10" s="337"/>
      <c r="C10" s="337"/>
      <c r="D10" s="338"/>
      <c r="E10" s="338"/>
      <c r="F10" s="337"/>
      <c r="G10" s="338"/>
      <c r="H10" s="338"/>
      <c r="I10" s="337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 x14ac:dyDescent="0.25">
      <c r="A11" s="336"/>
      <c r="B11" s="337"/>
      <c r="C11" s="337"/>
      <c r="D11" s="338"/>
      <c r="E11" s="338"/>
      <c r="F11" s="337"/>
      <c r="G11" s="338"/>
      <c r="H11" s="338"/>
      <c r="I11" s="337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 x14ac:dyDescent="0.25">
      <c r="A12" s="339" t="s">
        <v>22</v>
      </c>
      <c r="B12" s="226"/>
      <c r="C12" s="226"/>
      <c r="D12" s="338"/>
      <c r="E12" s="338"/>
      <c r="F12" s="226"/>
      <c r="G12" s="338"/>
      <c r="H12" s="338"/>
      <c r="I12" s="226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 x14ac:dyDescent="0.25">
      <c r="A13" s="339" t="s">
        <v>23</v>
      </c>
      <c r="B13" s="226"/>
      <c r="C13" s="226"/>
      <c r="D13" s="338"/>
      <c r="E13" s="338"/>
      <c r="F13" s="226"/>
      <c r="G13" s="338"/>
      <c r="H13" s="338"/>
      <c r="I13" s="226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 x14ac:dyDescent="0.25">
      <c r="A14" s="339" t="s">
        <v>24</v>
      </c>
      <c r="B14" s="226"/>
      <c r="C14" s="226"/>
      <c r="D14" s="338"/>
      <c r="E14" s="338"/>
      <c r="F14" s="226"/>
      <c r="G14" s="338"/>
      <c r="H14" s="338"/>
      <c r="I14" s="226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 x14ac:dyDescent="0.25">
      <c r="A15" s="226"/>
      <c r="B15" s="226"/>
      <c r="C15" s="226"/>
      <c r="D15" s="225"/>
      <c r="E15" s="225"/>
      <c r="F15" s="226"/>
      <c r="G15" s="225"/>
      <c r="H15" s="225"/>
      <c r="I15" s="226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 x14ac:dyDescent="0.25">
      <c r="A16" s="226"/>
      <c r="B16" s="226"/>
      <c r="C16" s="226"/>
      <c r="D16" s="225"/>
      <c r="E16" s="225"/>
      <c r="F16" s="226"/>
      <c r="G16" s="225"/>
      <c r="H16" s="225"/>
      <c r="I16" s="226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 x14ac:dyDescent="0.25">
      <c r="A17" s="226"/>
      <c r="B17" s="226"/>
      <c r="C17" s="226"/>
      <c r="D17" s="225"/>
      <c r="E17" s="225"/>
      <c r="F17" s="226"/>
      <c r="G17" s="225"/>
      <c r="H17" s="225"/>
      <c r="I17" s="226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 x14ac:dyDescent="0.25">
      <c r="A18" s="226"/>
      <c r="B18" s="226"/>
      <c r="C18" s="226"/>
      <c r="D18" s="225"/>
      <c r="E18" s="225"/>
      <c r="F18" s="226"/>
      <c r="G18" s="225"/>
      <c r="H18" s="225"/>
      <c r="I18" s="226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 x14ac:dyDescent="0.25">
      <c r="A19" s="226"/>
      <c r="B19" s="226"/>
      <c r="C19" s="226"/>
      <c r="D19" s="225"/>
      <c r="E19" s="225"/>
      <c r="F19" s="226"/>
      <c r="G19" s="225"/>
      <c r="H19" s="225"/>
      <c r="I19" s="226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 x14ac:dyDescent="0.25">
      <c r="A20" s="226"/>
      <c r="B20" s="226"/>
      <c r="C20" s="226"/>
      <c r="D20" s="225"/>
      <c r="E20" s="225"/>
      <c r="F20" s="226"/>
      <c r="G20" s="225"/>
      <c r="H20" s="225"/>
      <c r="I20" s="226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 x14ac:dyDescent="0.25">
      <c r="A21" s="226"/>
      <c r="B21" s="226"/>
      <c r="C21" s="226"/>
      <c r="D21" s="225"/>
      <c r="E21" s="225"/>
      <c r="F21" s="226"/>
      <c r="G21" s="225"/>
      <c r="H21" s="225"/>
      <c r="I21" s="226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 x14ac:dyDescent="0.25">
      <c r="A22" s="340" t="s">
        <v>25</v>
      </c>
      <c r="B22" s="341"/>
      <c r="C22" s="342"/>
      <c r="D22" s="343"/>
      <c r="E22" s="343"/>
      <c r="F22" s="344"/>
      <c r="G22" s="343"/>
      <c r="H22" s="343"/>
      <c r="I22" s="342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 x14ac:dyDescent="0.25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 x14ac:dyDescent="0.2">
      <c r="A24" s="351" t="s">
        <v>27</v>
      </c>
      <c r="B24" s="351" t="s">
        <v>28</v>
      </c>
      <c r="C24" s="351" t="s">
        <v>29</v>
      </c>
      <c r="D24" s="352"/>
      <c r="E24" s="352"/>
      <c r="F24" s="353"/>
      <c r="G24" s="352"/>
      <c r="H24" s="352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354" t="s">
        <v>30</v>
      </c>
      <c r="X24" s="355"/>
      <c r="Y24" s="356"/>
      <c r="Z24" s="352" t="s">
        <v>31</v>
      </c>
      <c r="AA24" s="352"/>
      <c r="AB24" s="352"/>
    </row>
    <row r="25" spans="1:32" ht="36.75" customHeight="1" x14ac:dyDescent="0.25">
      <c r="A25" s="352"/>
      <c r="B25" s="352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 x14ac:dyDescent="0.25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 x14ac:dyDescent="0.25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 x14ac:dyDescent="0.2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 x14ac:dyDescent="0.2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 x14ac:dyDescent="0.2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 x14ac:dyDescent="0.2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 x14ac:dyDescent="0.2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 x14ac:dyDescent="0.2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 x14ac:dyDescent="0.2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 x14ac:dyDescent="0.25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 x14ac:dyDescent="0.2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 x14ac:dyDescent="0.2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 x14ac:dyDescent="0.2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 x14ac:dyDescent="0.2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 x14ac:dyDescent="0.2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 x14ac:dyDescent="0.2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 x14ac:dyDescent="0.2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 x14ac:dyDescent="0.2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 x14ac:dyDescent="0.2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 x14ac:dyDescent="0.2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 x14ac:dyDescent="0.2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 x14ac:dyDescent="0.2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 x14ac:dyDescent="0.2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 x14ac:dyDescent="0.2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 x14ac:dyDescent="0.2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 x14ac:dyDescent="0.2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 x14ac:dyDescent="0.2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 x14ac:dyDescent="0.25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 x14ac:dyDescent="0.2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 x14ac:dyDescent="0.2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 x14ac:dyDescent="0.2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 x14ac:dyDescent="0.2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 x14ac:dyDescent="0.2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 x14ac:dyDescent="0.2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 x14ac:dyDescent="0.2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 x14ac:dyDescent="0.2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 x14ac:dyDescent="0.2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 x14ac:dyDescent="0.2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 x14ac:dyDescent="0.2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 x14ac:dyDescent="0.25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 x14ac:dyDescent="0.2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 x14ac:dyDescent="0.2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 x14ac:dyDescent="0.2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 x14ac:dyDescent="0.2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 x14ac:dyDescent="0.2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 x14ac:dyDescent="0.2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 x14ac:dyDescent="0.2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 x14ac:dyDescent="0.2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 x14ac:dyDescent="0.2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 x14ac:dyDescent="0.2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 x14ac:dyDescent="0.2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 x14ac:dyDescent="0.2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 x14ac:dyDescent="0.2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 x14ac:dyDescent="0.2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 x14ac:dyDescent="0.2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 x14ac:dyDescent="0.2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 x14ac:dyDescent="0.2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 x14ac:dyDescent="0.2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 x14ac:dyDescent="0.2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 x14ac:dyDescent="0.2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 x14ac:dyDescent="0.2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 x14ac:dyDescent="0.2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 x14ac:dyDescent="0.2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 x14ac:dyDescent="0.2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 x14ac:dyDescent="0.2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 x14ac:dyDescent="0.2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 x14ac:dyDescent="0.2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 x14ac:dyDescent="0.2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 x14ac:dyDescent="0.2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 x14ac:dyDescent="0.2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 x14ac:dyDescent="0.2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 x14ac:dyDescent="0.2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 x14ac:dyDescent="0.2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 x14ac:dyDescent="0.2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 x14ac:dyDescent="0.2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 x14ac:dyDescent="0.2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 x14ac:dyDescent="0.2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 x14ac:dyDescent="0.2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 x14ac:dyDescent="0.2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 x14ac:dyDescent="0.2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 x14ac:dyDescent="0.25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 x14ac:dyDescent="0.2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 x14ac:dyDescent="0.2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 x14ac:dyDescent="0.2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 x14ac:dyDescent="0.2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 x14ac:dyDescent="0.2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 x14ac:dyDescent="0.2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 x14ac:dyDescent="0.2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 x14ac:dyDescent="0.2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 x14ac:dyDescent="0.2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 x14ac:dyDescent="0.2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 x14ac:dyDescent="0.2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 x14ac:dyDescent="0.2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 x14ac:dyDescent="0.2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 x14ac:dyDescent="0.2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 x14ac:dyDescent="0.2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 x14ac:dyDescent="0.2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 x14ac:dyDescent="0.2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 x14ac:dyDescent="0.2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 x14ac:dyDescent="0.2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 x14ac:dyDescent="0.2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 x14ac:dyDescent="0.2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 x14ac:dyDescent="0.2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 x14ac:dyDescent="0.2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 x14ac:dyDescent="0.2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 x14ac:dyDescent="0.2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 x14ac:dyDescent="0.2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 x14ac:dyDescent="0.2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 x14ac:dyDescent="0.2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 x14ac:dyDescent="0.2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 x14ac:dyDescent="0.2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 x14ac:dyDescent="0.2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 x14ac:dyDescent="0.2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 x14ac:dyDescent="0.2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 x14ac:dyDescent="0.2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 x14ac:dyDescent="0.2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 x14ac:dyDescent="0.2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 x14ac:dyDescent="0.2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 x14ac:dyDescent="0.2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 x14ac:dyDescent="0.2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 x14ac:dyDescent="0.2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 x14ac:dyDescent="0.2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 x14ac:dyDescent="0.2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 x14ac:dyDescent="0.25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 x14ac:dyDescent="0.2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 x14ac:dyDescent="0.2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 x14ac:dyDescent="0.2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 x14ac:dyDescent="0.2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 x14ac:dyDescent="0.2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 x14ac:dyDescent="0.2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 x14ac:dyDescent="0.2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 x14ac:dyDescent="0.2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 x14ac:dyDescent="0.2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 x14ac:dyDescent="0.2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 x14ac:dyDescent="0.2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 x14ac:dyDescent="0.2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 x14ac:dyDescent="0.2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 x14ac:dyDescent="0.2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 x14ac:dyDescent="0.2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 x14ac:dyDescent="0.2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 x14ac:dyDescent="0.2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 x14ac:dyDescent="0.2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 x14ac:dyDescent="0.2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 x14ac:dyDescent="0.2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 x14ac:dyDescent="0.2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 x14ac:dyDescent="0.2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 x14ac:dyDescent="0.2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 x14ac:dyDescent="0.2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 x14ac:dyDescent="0.2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 x14ac:dyDescent="0.2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 x14ac:dyDescent="0.2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 x14ac:dyDescent="0.2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 x14ac:dyDescent="0.2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 x14ac:dyDescent="0.2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 x14ac:dyDescent="0.2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 x14ac:dyDescent="0.2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 x14ac:dyDescent="0.2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 x14ac:dyDescent="0.2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 x14ac:dyDescent="0.2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 x14ac:dyDescent="0.2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 x14ac:dyDescent="0.2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 x14ac:dyDescent="0.2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 x14ac:dyDescent="0.2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 x14ac:dyDescent="0.2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 x14ac:dyDescent="0.2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 x14ac:dyDescent="0.2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 x14ac:dyDescent="0.2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 x14ac:dyDescent="0.2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 x14ac:dyDescent="0.2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 x14ac:dyDescent="0.2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 x14ac:dyDescent="0.2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 x14ac:dyDescent="0.2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 x14ac:dyDescent="0.2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 x14ac:dyDescent="0.2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 x14ac:dyDescent="0.2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 x14ac:dyDescent="0.2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 x14ac:dyDescent="0.2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 x14ac:dyDescent="0.2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 x14ac:dyDescent="0.2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 x14ac:dyDescent="0.2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 x14ac:dyDescent="0.2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 x14ac:dyDescent="0.2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 x14ac:dyDescent="0.2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 x14ac:dyDescent="0.2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 x14ac:dyDescent="0.2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 x14ac:dyDescent="0.2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 x14ac:dyDescent="0.2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 x14ac:dyDescent="0.2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 x14ac:dyDescent="0.2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 x14ac:dyDescent="0.2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 x14ac:dyDescent="0.2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 x14ac:dyDescent="0.2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 x14ac:dyDescent="0.2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 x14ac:dyDescent="0.25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 x14ac:dyDescent="0.2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 x14ac:dyDescent="0.2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 x14ac:dyDescent="0.2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 x14ac:dyDescent="0.2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 x14ac:dyDescent="0.2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 x14ac:dyDescent="0.2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 x14ac:dyDescent="0.2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 x14ac:dyDescent="0.2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 x14ac:dyDescent="0.2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 x14ac:dyDescent="0.2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 x14ac:dyDescent="0.2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 x14ac:dyDescent="0.2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 x14ac:dyDescent="0.2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 x14ac:dyDescent="0.25">
      <c r="A233" s="335" t="s">
        <v>502</v>
      </c>
      <c r="B233" s="335"/>
      <c r="C233" s="335"/>
      <c r="D233" s="335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 x14ac:dyDescent="0.2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 x14ac:dyDescent="0.2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 x14ac:dyDescent="0.2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 x14ac:dyDescent="0.2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 x14ac:dyDescent="0.2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 x14ac:dyDescent="0.2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 x14ac:dyDescent="0.2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 x14ac:dyDescent="0.2">
      <c r="T241" s="65">
        <f t="shared" si="98"/>
        <v>0</v>
      </c>
      <c r="Z241" s="91"/>
      <c r="AA241" s="96">
        <f t="shared" si="97"/>
        <v>0</v>
      </c>
      <c r="AB241" s="84"/>
    </row>
    <row r="242" spans="16:28" x14ac:dyDescent="0.2">
      <c r="T242" s="65">
        <f t="shared" si="98"/>
        <v>0</v>
      </c>
      <c r="Z242" s="91"/>
      <c r="AA242" s="96">
        <f t="shared" si="97"/>
        <v>0</v>
      </c>
      <c r="AB242" s="84"/>
    </row>
    <row r="243" spans="16:28" x14ac:dyDescent="0.2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 x14ac:dyDescent="0.2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 x14ac:dyDescent="0.2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 x14ac:dyDescent="0.2">
      <c r="T246" s="65">
        <f t="shared" si="98"/>
        <v>0</v>
      </c>
      <c r="Z246" s="91"/>
      <c r="AA246" s="96">
        <f t="shared" si="97"/>
        <v>0</v>
      </c>
      <c r="AB246" s="84"/>
    </row>
    <row r="247" spans="16:28" x14ac:dyDescent="0.2">
      <c r="T247" s="65">
        <f t="shared" si="98"/>
        <v>0</v>
      </c>
      <c r="Z247" s="91"/>
      <c r="AA247" s="96">
        <f t="shared" si="97"/>
        <v>0</v>
      </c>
      <c r="AB247" s="84"/>
    </row>
    <row r="248" spans="16:28" x14ac:dyDescent="0.2">
      <c r="T248" s="65">
        <f t="shared" si="98"/>
        <v>0</v>
      </c>
      <c r="Z248" s="91"/>
      <c r="AA248" s="96">
        <f t="shared" si="97"/>
        <v>0</v>
      </c>
      <c r="AB248" s="84"/>
    </row>
    <row r="249" spans="16:28" x14ac:dyDescent="0.2">
      <c r="T249" s="65">
        <f t="shared" si="98"/>
        <v>0</v>
      </c>
      <c r="Z249" s="91"/>
      <c r="AA249" s="96">
        <f t="shared" si="97"/>
        <v>0</v>
      </c>
      <c r="AB249" s="84"/>
    </row>
    <row r="250" spans="16:28" x14ac:dyDescent="0.2">
      <c r="T250" s="65">
        <f t="shared" si="98"/>
        <v>0</v>
      </c>
      <c r="Z250" s="91"/>
      <c r="AA250" s="96">
        <f t="shared" si="97"/>
        <v>0</v>
      </c>
      <c r="AB250" s="84"/>
    </row>
    <row r="251" spans="16:28" x14ac:dyDescent="0.2">
      <c r="T251" s="65">
        <f t="shared" si="98"/>
        <v>0</v>
      </c>
      <c r="Z251" s="91"/>
      <c r="AA251" s="96">
        <f t="shared" si="97"/>
        <v>0</v>
      </c>
      <c r="AB251" s="84"/>
    </row>
    <row r="252" spans="16:28" x14ac:dyDescent="0.2">
      <c r="T252" s="65">
        <f t="shared" si="98"/>
        <v>0</v>
      </c>
      <c r="Z252" s="91"/>
      <c r="AA252" s="96">
        <f t="shared" si="97"/>
        <v>0</v>
      </c>
      <c r="AB252" s="84"/>
    </row>
    <row r="253" spans="16:28" x14ac:dyDescent="0.2">
      <c r="T253" s="65">
        <f t="shared" si="98"/>
        <v>0</v>
      </c>
      <c r="Z253" s="91"/>
      <c r="AA253" s="96">
        <f t="shared" si="97"/>
        <v>0</v>
      </c>
      <c r="AB253" s="84"/>
    </row>
    <row r="254" spans="16:28" x14ac:dyDescent="0.2">
      <c r="T254" s="65">
        <f t="shared" si="98"/>
        <v>0</v>
      </c>
      <c r="Z254" s="91"/>
      <c r="AA254" s="96">
        <f t="shared" si="97"/>
        <v>0</v>
      </c>
      <c r="AB254" s="84"/>
    </row>
    <row r="255" spans="16:28" x14ac:dyDescent="0.2">
      <c r="T255" s="65">
        <f t="shared" si="98"/>
        <v>0</v>
      </c>
      <c r="Z255" s="91"/>
      <c r="AA255" s="96">
        <f t="shared" si="97"/>
        <v>0</v>
      </c>
      <c r="AB255" s="84"/>
    </row>
    <row r="256" spans="16:28" x14ac:dyDescent="0.2">
      <c r="T256" s="65">
        <f t="shared" si="98"/>
        <v>0</v>
      </c>
      <c r="Z256" s="91"/>
      <c r="AA256" s="96">
        <f t="shared" si="97"/>
        <v>0</v>
      </c>
      <c r="AB256" s="84"/>
    </row>
    <row r="257" spans="20:28" x14ac:dyDescent="0.2">
      <c r="T257" s="65">
        <f t="shared" si="98"/>
        <v>0</v>
      </c>
      <c r="Z257" s="91"/>
      <c r="AA257" s="96">
        <f t="shared" si="97"/>
        <v>0</v>
      </c>
      <c r="AB257" s="84"/>
    </row>
    <row r="258" spans="20:28" x14ac:dyDescent="0.2">
      <c r="T258" s="65">
        <f t="shared" si="98"/>
        <v>0</v>
      </c>
      <c r="Z258" s="91"/>
      <c r="AA258" s="96">
        <f t="shared" si="97"/>
        <v>0</v>
      </c>
      <c r="AB258" s="84"/>
    </row>
    <row r="259" spans="20:28" x14ac:dyDescent="0.2">
      <c r="T259" s="65">
        <f t="shared" si="98"/>
        <v>0</v>
      </c>
      <c r="Z259" s="91"/>
      <c r="AA259" s="96">
        <f t="shared" si="97"/>
        <v>0</v>
      </c>
      <c r="AB259" s="84"/>
    </row>
    <row r="260" spans="20:28" x14ac:dyDescent="0.2">
      <c r="T260" s="65">
        <f t="shared" si="98"/>
        <v>0</v>
      </c>
      <c r="Z260" s="91"/>
      <c r="AA260" s="96">
        <f t="shared" si="97"/>
        <v>0</v>
      </c>
      <c r="AB260" s="84"/>
    </row>
    <row r="261" spans="20:28" x14ac:dyDescent="0.2">
      <c r="T261" s="65">
        <f t="shared" si="98"/>
        <v>0</v>
      </c>
      <c r="Z261" s="91"/>
      <c r="AA261" s="96">
        <f t="shared" si="97"/>
        <v>0</v>
      </c>
      <c r="AB261" s="84"/>
    </row>
    <row r="262" spans="20:28" x14ac:dyDescent="0.2">
      <c r="T262" s="65">
        <f t="shared" si="98"/>
        <v>0</v>
      </c>
      <c r="Z262" s="91"/>
      <c r="AA262" s="96">
        <f t="shared" si="97"/>
        <v>0</v>
      </c>
      <c r="AB262" s="84"/>
    </row>
    <row r="263" spans="20:28" x14ac:dyDescent="0.2">
      <c r="T263" s="65">
        <f t="shared" si="98"/>
        <v>0</v>
      </c>
      <c r="Z263" s="91"/>
      <c r="AA263" s="96">
        <f t="shared" si="97"/>
        <v>0</v>
      </c>
      <c r="AB263" s="84"/>
    </row>
    <row r="264" spans="20:28" x14ac:dyDescent="0.2">
      <c r="T264" s="65">
        <f t="shared" si="98"/>
        <v>0</v>
      </c>
      <c r="Z264" s="91"/>
      <c r="AA264" s="96">
        <f t="shared" si="97"/>
        <v>0</v>
      </c>
      <c r="AB264" s="84"/>
    </row>
    <row r="265" spans="20:28" x14ac:dyDescent="0.2">
      <c r="T265" s="65">
        <f t="shared" si="98"/>
        <v>0</v>
      </c>
      <c r="Z265" s="91"/>
      <c r="AA265" s="96">
        <f t="shared" si="97"/>
        <v>0</v>
      </c>
      <c r="AB265" s="84"/>
    </row>
    <row r="266" spans="20:28" x14ac:dyDescent="0.2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 x14ac:dyDescent="0.2">
      <c r="T267" s="65">
        <f t="shared" si="98"/>
        <v>0</v>
      </c>
      <c r="Z267" s="91"/>
      <c r="AA267" s="96">
        <f t="shared" si="99"/>
        <v>0</v>
      </c>
      <c r="AB267" s="84"/>
    </row>
    <row r="268" spans="20:28" x14ac:dyDescent="0.2">
      <c r="T268" s="65">
        <f t="shared" si="98"/>
        <v>0</v>
      </c>
      <c r="Z268" s="91"/>
      <c r="AA268" s="96">
        <f t="shared" si="99"/>
        <v>0</v>
      </c>
      <c r="AB268" s="84"/>
    </row>
    <row r="269" spans="20:28" x14ac:dyDescent="0.2">
      <c r="T269" s="65">
        <f t="shared" si="98"/>
        <v>0</v>
      </c>
      <c r="Z269" s="91"/>
      <c r="AA269" s="96">
        <f t="shared" si="99"/>
        <v>0</v>
      </c>
      <c r="AB269" s="84"/>
    </row>
    <row r="270" spans="20:28" x14ac:dyDescent="0.2">
      <c r="T270" s="65">
        <f t="shared" si="98"/>
        <v>0</v>
      </c>
      <c r="Z270" s="91"/>
      <c r="AA270" s="96">
        <f t="shared" si="99"/>
        <v>0</v>
      </c>
      <c r="AB270" s="84"/>
    </row>
    <row r="271" spans="20:28" x14ac:dyDescent="0.2">
      <c r="T271" s="65">
        <f t="shared" si="98"/>
        <v>0</v>
      </c>
      <c r="Z271" s="91"/>
      <c r="AA271" s="96">
        <f t="shared" si="99"/>
        <v>0</v>
      </c>
      <c r="AB271" s="84"/>
    </row>
    <row r="272" spans="20:28" x14ac:dyDescent="0.2">
      <c r="T272" s="65">
        <f t="shared" si="98"/>
        <v>0</v>
      </c>
      <c r="Z272" s="91"/>
      <c r="AA272" s="96">
        <f t="shared" si="99"/>
        <v>0</v>
      </c>
      <c r="AB272" s="84"/>
    </row>
    <row r="273" spans="20:28" x14ac:dyDescent="0.2">
      <c r="T273" s="65">
        <f t="shared" si="98"/>
        <v>0</v>
      </c>
      <c r="Z273" s="91"/>
      <c r="AA273" s="96">
        <f t="shared" si="99"/>
        <v>0</v>
      </c>
      <c r="AB273" s="84"/>
    </row>
    <row r="274" spans="20:28" x14ac:dyDescent="0.2">
      <c r="T274" s="65">
        <f t="shared" si="98"/>
        <v>0</v>
      </c>
      <c r="Z274" s="91"/>
      <c r="AA274" s="96">
        <f t="shared" si="99"/>
        <v>0</v>
      </c>
      <c r="AB274" s="84"/>
    </row>
    <row r="275" spans="20:28" x14ac:dyDescent="0.2">
      <c r="T275" s="65">
        <f t="shared" si="98"/>
        <v>0</v>
      </c>
      <c r="Z275" s="91"/>
      <c r="AA275" s="96">
        <f t="shared" si="99"/>
        <v>0</v>
      </c>
      <c r="AB275" s="84"/>
    </row>
    <row r="276" spans="20:28" x14ac:dyDescent="0.2">
      <c r="T276" s="65">
        <f t="shared" si="98"/>
        <v>0</v>
      </c>
      <c r="Z276" s="91"/>
      <c r="AA276" s="96">
        <f t="shared" si="99"/>
        <v>0</v>
      </c>
      <c r="AB276" s="84"/>
    </row>
    <row r="277" spans="20:28" x14ac:dyDescent="0.2">
      <c r="T277" s="65">
        <f t="shared" si="98"/>
        <v>0</v>
      </c>
      <c r="Z277" s="91"/>
      <c r="AA277" s="96">
        <f t="shared" si="99"/>
        <v>0</v>
      </c>
      <c r="AB277" s="84"/>
    </row>
    <row r="278" spans="20:28" x14ac:dyDescent="0.2">
      <c r="T278" s="65">
        <f t="shared" si="98"/>
        <v>0</v>
      </c>
      <c r="Z278" s="91"/>
      <c r="AA278" s="96">
        <f t="shared" si="99"/>
        <v>0</v>
      </c>
      <c r="AB278" s="84"/>
    </row>
    <row r="279" spans="20:28" x14ac:dyDescent="0.2">
      <c r="T279" s="65">
        <f t="shared" si="98"/>
        <v>0</v>
      </c>
      <c r="Z279" s="91"/>
      <c r="AA279" s="96">
        <f t="shared" si="99"/>
        <v>0</v>
      </c>
      <c r="AB279" s="84"/>
    </row>
    <row r="280" spans="20:28" x14ac:dyDescent="0.2">
      <c r="T280" s="65">
        <f t="shared" si="98"/>
        <v>0</v>
      </c>
      <c r="Z280" s="91"/>
      <c r="AA280" s="96">
        <f t="shared" si="99"/>
        <v>0</v>
      </c>
      <c r="AB280" s="84"/>
    </row>
    <row r="281" spans="20:28" x14ac:dyDescent="0.2">
      <c r="T281" s="65">
        <f t="shared" si="98"/>
        <v>0</v>
      </c>
      <c r="Z281" s="91"/>
      <c r="AA281" s="96">
        <f t="shared" si="99"/>
        <v>0</v>
      </c>
      <c r="AB281" s="84"/>
    </row>
    <row r="282" spans="20:28" x14ac:dyDescent="0.2">
      <c r="T282" s="65">
        <f t="shared" si="98"/>
        <v>0</v>
      </c>
      <c r="Z282" s="91"/>
      <c r="AA282" s="96">
        <f t="shared" si="99"/>
        <v>0</v>
      </c>
      <c r="AB282" s="84"/>
    </row>
    <row r="283" spans="20:28" x14ac:dyDescent="0.2">
      <c r="T283" s="65">
        <f t="shared" si="98"/>
        <v>0</v>
      </c>
      <c r="Z283" s="91"/>
      <c r="AA283" s="96">
        <f t="shared" si="99"/>
        <v>0</v>
      </c>
      <c r="AB283" s="84"/>
    </row>
    <row r="284" spans="20:28" x14ac:dyDescent="0.2">
      <c r="T284" s="65">
        <f t="shared" si="98"/>
        <v>0</v>
      </c>
      <c r="Z284" s="91"/>
      <c r="AA284" s="96">
        <f t="shared" si="99"/>
        <v>0</v>
      </c>
      <c r="AB284" s="84"/>
    </row>
    <row r="285" spans="20:28" x14ac:dyDescent="0.2">
      <c r="T285" s="65">
        <f t="shared" si="98"/>
        <v>0</v>
      </c>
      <c r="Z285" s="91"/>
      <c r="AA285" s="96">
        <f t="shared" si="99"/>
        <v>0</v>
      </c>
      <c r="AB285" s="84"/>
    </row>
    <row r="286" spans="20:28" x14ac:dyDescent="0.2">
      <c r="T286" s="65">
        <f t="shared" si="98"/>
        <v>0</v>
      </c>
      <c r="Z286" s="91"/>
      <c r="AA286" s="96">
        <f t="shared" si="99"/>
        <v>0</v>
      </c>
      <c r="AB286" s="84"/>
    </row>
    <row r="287" spans="20:28" x14ac:dyDescent="0.2">
      <c r="T287" s="65">
        <f t="shared" si="98"/>
        <v>0</v>
      </c>
      <c r="Z287" s="91"/>
      <c r="AA287" s="96">
        <f t="shared" si="99"/>
        <v>0</v>
      </c>
      <c r="AB287" s="84"/>
    </row>
    <row r="288" spans="20:28" x14ac:dyDescent="0.2">
      <c r="T288" s="65">
        <f t="shared" si="98"/>
        <v>0</v>
      </c>
      <c r="Z288" s="91"/>
      <c r="AA288" s="96">
        <f t="shared" si="99"/>
        <v>0</v>
      </c>
      <c r="AB288" s="84"/>
    </row>
    <row r="289" spans="20:28" x14ac:dyDescent="0.2">
      <c r="T289" s="65">
        <f t="shared" si="98"/>
        <v>0</v>
      </c>
      <c r="Z289" s="91"/>
      <c r="AA289" s="96">
        <f t="shared" si="99"/>
        <v>0</v>
      </c>
      <c r="AB289" s="84"/>
    </row>
    <row r="290" spans="20:28" x14ac:dyDescent="0.2">
      <c r="T290" s="65">
        <f t="shared" si="98"/>
        <v>0</v>
      </c>
      <c r="Z290" s="91"/>
      <c r="AA290" s="96">
        <f t="shared" si="99"/>
        <v>0</v>
      </c>
      <c r="AB290" s="84"/>
    </row>
    <row r="291" spans="20:28" x14ac:dyDescent="0.2">
      <c r="T291" s="65">
        <f t="shared" si="98"/>
        <v>0</v>
      </c>
      <c r="Z291" s="91"/>
      <c r="AA291" s="96">
        <f t="shared" si="99"/>
        <v>0</v>
      </c>
      <c r="AB291" s="84"/>
    </row>
    <row r="292" spans="20:28" x14ac:dyDescent="0.2">
      <c r="T292" s="65">
        <f t="shared" si="98"/>
        <v>0</v>
      </c>
      <c r="Z292" s="91"/>
      <c r="AA292" s="96">
        <f t="shared" si="99"/>
        <v>0</v>
      </c>
      <c r="AB292" s="84"/>
    </row>
    <row r="293" spans="20:28" x14ac:dyDescent="0.2">
      <c r="T293" s="65">
        <f t="shared" si="98"/>
        <v>0</v>
      </c>
      <c r="Z293" s="91"/>
      <c r="AA293" s="96">
        <f t="shared" si="99"/>
        <v>0</v>
      </c>
      <c r="AB293" s="84"/>
    </row>
    <row r="294" spans="20:28" x14ac:dyDescent="0.2">
      <c r="T294" s="65">
        <f t="shared" si="98"/>
        <v>0</v>
      </c>
      <c r="Z294" s="91"/>
      <c r="AA294" s="96">
        <f t="shared" si="99"/>
        <v>0</v>
      </c>
      <c r="AB294" s="84"/>
    </row>
    <row r="295" spans="20:28" x14ac:dyDescent="0.2">
      <c r="T295" s="65">
        <f t="shared" si="98"/>
        <v>0</v>
      </c>
      <c r="Z295" s="91"/>
      <c r="AA295" s="96">
        <f t="shared" si="99"/>
        <v>0</v>
      </c>
      <c r="AB295" s="84"/>
    </row>
    <row r="296" spans="20:28" x14ac:dyDescent="0.2">
      <c r="T296" s="65">
        <f t="shared" si="98"/>
        <v>0</v>
      </c>
      <c r="Z296" s="91"/>
      <c r="AA296" s="96">
        <f t="shared" si="99"/>
        <v>0</v>
      </c>
      <c r="AB296" s="84"/>
    </row>
    <row r="297" spans="20:28" x14ac:dyDescent="0.2">
      <c r="T297" s="65">
        <f t="shared" si="98"/>
        <v>0</v>
      </c>
      <c r="Z297" s="91"/>
      <c r="AA297" s="96">
        <f t="shared" si="99"/>
        <v>0</v>
      </c>
      <c r="AB297" s="84"/>
    </row>
    <row r="298" spans="20:28" x14ac:dyDescent="0.2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 x14ac:dyDescent="0.2">
      <c r="T299" s="65">
        <f t="shared" si="98"/>
        <v>0</v>
      </c>
      <c r="Z299" s="91"/>
      <c r="AA299" s="96">
        <f t="shared" si="100"/>
        <v>0</v>
      </c>
      <c r="AB299" s="84"/>
    </row>
    <row r="300" spans="20:28" x14ac:dyDescent="0.2">
      <c r="T300" s="65">
        <f t="shared" si="98"/>
        <v>0</v>
      </c>
      <c r="Z300" s="91"/>
      <c r="AA300" s="96">
        <f t="shared" si="100"/>
        <v>0</v>
      </c>
      <c r="AB300" s="84"/>
    </row>
    <row r="301" spans="20:28" x14ac:dyDescent="0.2">
      <c r="T301" s="65">
        <f t="shared" si="98"/>
        <v>0</v>
      </c>
      <c r="Z301" s="91"/>
      <c r="AA301" s="96">
        <f t="shared" si="100"/>
        <v>0</v>
      </c>
      <c r="AB301" s="84"/>
    </row>
    <row r="302" spans="20:28" x14ac:dyDescent="0.2">
      <c r="T302" s="65">
        <f t="shared" si="98"/>
        <v>0</v>
      </c>
      <c r="Z302" s="91"/>
      <c r="AA302" s="96">
        <f t="shared" si="100"/>
        <v>0</v>
      </c>
      <c r="AB302" s="84"/>
    </row>
    <row r="303" spans="20:28" x14ac:dyDescent="0.2">
      <c r="T303" s="65">
        <f t="shared" si="98"/>
        <v>0</v>
      </c>
      <c r="Z303" s="91"/>
      <c r="AA303" s="96">
        <f t="shared" si="100"/>
        <v>0</v>
      </c>
      <c r="AB303" s="84"/>
    </row>
    <row r="304" spans="20:28" x14ac:dyDescent="0.2">
      <c r="T304" s="65">
        <f>SUM(J304:R304)</f>
        <v>0</v>
      </c>
      <c r="Z304" s="91"/>
      <c r="AA304" s="96">
        <f t="shared" si="100"/>
        <v>0</v>
      </c>
      <c r="AB304" s="84"/>
    </row>
    <row r="305" spans="20:28" x14ac:dyDescent="0.2">
      <c r="T305" s="65">
        <f>SUM(J305:R305)</f>
        <v>0</v>
      </c>
      <c r="Z305" s="91"/>
      <c r="AA305" s="96">
        <f t="shared" si="100"/>
        <v>0</v>
      </c>
      <c r="AB305" s="84"/>
    </row>
    <row r="306" spans="20:28" x14ac:dyDescent="0.2">
      <c r="Z306" s="91"/>
      <c r="AA306" s="96">
        <f t="shared" si="100"/>
        <v>0</v>
      </c>
      <c r="AB306" s="84"/>
    </row>
    <row r="307" spans="20:28" x14ac:dyDescent="0.2">
      <c r="Z307" s="91"/>
      <c r="AA307" s="96">
        <f t="shared" si="100"/>
        <v>0</v>
      </c>
      <c r="AB307" s="84"/>
    </row>
    <row r="308" spans="20:28" x14ac:dyDescent="0.2">
      <c r="Z308" s="91"/>
      <c r="AA308" s="96">
        <f t="shared" si="100"/>
        <v>0</v>
      </c>
      <c r="AB308" s="84"/>
    </row>
    <row r="309" spans="20:28" x14ac:dyDescent="0.2">
      <c r="Z309" s="91"/>
      <c r="AA309" s="96">
        <f t="shared" si="100"/>
        <v>0</v>
      </c>
      <c r="AB309" s="84"/>
    </row>
    <row r="310" spans="20:28" x14ac:dyDescent="0.2">
      <c r="Z310" s="91"/>
      <c r="AA310" s="96">
        <f t="shared" si="100"/>
        <v>0</v>
      </c>
      <c r="AB310" s="84"/>
    </row>
    <row r="311" spans="20:28" x14ac:dyDescent="0.2">
      <c r="Z311" s="91"/>
      <c r="AA311" s="96">
        <f t="shared" si="100"/>
        <v>0</v>
      </c>
      <c r="AB311" s="84"/>
    </row>
    <row r="312" spans="20:28" x14ac:dyDescent="0.2">
      <c r="Z312" s="91"/>
      <c r="AA312" s="96">
        <f t="shared" si="100"/>
        <v>0</v>
      </c>
      <c r="AB312" s="84"/>
    </row>
    <row r="313" spans="20:28" x14ac:dyDescent="0.2">
      <c r="Z313" s="91"/>
      <c r="AA313" s="96">
        <f t="shared" si="100"/>
        <v>0</v>
      </c>
      <c r="AB313" s="84"/>
    </row>
    <row r="314" spans="20:28" x14ac:dyDescent="0.2">
      <c r="Z314" s="91"/>
      <c r="AA314" s="96">
        <f t="shared" si="100"/>
        <v>0</v>
      </c>
      <c r="AB314" s="84"/>
    </row>
    <row r="315" spans="20:28" x14ac:dyDescent="0.2">
      <c r="Z315" s="91"/>
      <c r="AA315" s="96">
        <f t="shared" si="100"/>
        <v>0</v>
      </c>
      <c r="AB315" s="84"/>
    </row>
    <row r="316" spans="20:28" x14ac:dyDescent="0.2">
      <c r="Z316" s="91"/>
      <c r="AA316" s="96">
        <f t="shared" si="100"/>
        <v>0</v>
      </c>
      <c r="AB316" s="84"/>
    </row>
    <row r="317" spans="20:28" x14ac:dyDescent="0.2">
      <c r="Z317" s="91"/>
      <c r="AA317" s="96">
        <f t="shared" si="100"/>
        <v>0</v>
      </c>
      <c r="AB317" s="84"/>
    </row>
    <row r="318" spans="20:28" x14ac:dyDescent="0.2">
      <c r="Z318" s="91"/>
      <c r="AA318" s="96">
        <f t="shared" si="100"/>
        <v>0</v>
      </c>
      <c r="AB318" s="84"/>
    </row>
    <row r="319" spans="20:28" x14ac:dyDescent="0.2">
      <c r="Z319" s="91"/>
      <c r="AA319" s="96">
        <f t="shared" si="100"/>
        <v>0</v>
      </c>
      <c r="AB319" s="84"/>
    </row>
    <row r="320" spans="20:28" x14ac:dyDescent="0.2">
      <c r="Z320" s="91"/>
      <c r="AA320" s="96">
        <f t="shared" si="100"/>
        <v>0</v>
      </c>
      <c r="AB320" s="84"/>
    </row>
    <row r="321" spans="26:28" x14ac:dyDescent="0.2">
      <c r="Z321" s="91"/>
      <c r="AA321" s="96">
        <f t="shared" si="100"/>
        <v>0</v>
      </c>
      <c r="AB321" s="84"/>
    </row>
    <row r="322" spans="26:28" x14ac:dyDescent="0.2">
      <c r="Z322" s="91"/>
      <c r="AA322" s="96">
        <f t="shared" si="100"/>
        <v>0</v>
      </c>
      <c r="AB322" s="84"/>
    </row>
    <row r="323" spans="26:28" x14ac:dyDescent="0.2">
      <c r="Z323" s="91"/>
      <c r="AA323" s="96">
        <f t="shared" si="100"/>
        <v>0</v>
      </c>
      <c r="AB323" s="84"/>
    </row>
    <row r="324" spans="26:28" x14ac:dyDescent="0.2">
      <c r="Z324" s="91"/>
      <c r="AA324" s="96">
        <f t="shared" si="100"/>
        <v>0</v>
      </c>
      <c r="AB324" s="84"/>
    </row>
    <row r="325" spans="26:28" x14ac:dyDescent="0.2">
      <c r="Z325" s="91"/>
      <c r="AA325" s="96">
        <f t="shared" si="100"/>
        <v>0</v>
      </c>
      <c r="AB325" s="84"/>
    </row>
    <row r="326" spans="26:28" x14ac:dyDescent="0.2">
      <c r="Z326" s="91"/>
      <c r="AA326" s="96">
        <f t="shared" si="100"/>
        <v>0</v>
      </c>
      <c r="AB326" s="84"/>
    </row>
    <row r="327" spans="26:28" x14ac:dyDescent="0.2">
      <c r="Z327" s="91"/>
      <c r="AA327" s="96">
        <f t="shared" si="100"/>
        <v>0</v>
      </c>
      <c r="AB327" s="84"/>
    </row>
    <row r="328" spans="26:28" x14ac:dyDescent="0.2">
      <c r="Z328" s="91"/>
      <c r="AA328" s="96">
        <f t="shared" si="100"/>
        <v>0</v>
      </c>
      <c r="AB328" s="84"/>
    </row>
    <row r="329" spans="26:28" x14ac:dyDescent="0.2">
      <c r="Z329" s="91"/>
      <c r="AA329" s="96">
        <f t="shared" si="100"/>
        <v>0</v>
      </c>
      <c r="AB329" s="84"/>
    </row>
    <row r="330" spans="26:28" x14ac:dyDescent="0.2">
      <c r="Z330" s="91"/>
      <c r="AA330" s="96">
        <f t="shared" ref="AA330:AA361" si="101">Q330*E330</f>
        <v>0</v>
      </c>
      <c r="AB330" s="84"/>
    </row>
    <row r="331" spans="26:28" x14ac:dyDescent="0.2">
      <c r="Z331" s="91"/>
      <c r="AA331" s="96">
        <f t="shared" si="101"/>
        <v>0</v>
      </c>
      <c r="AB331" s="84"/>
    </row>
    <row r="332" spans="26:28" x14ac:dyDescent="0.2">
      <c r="Z332" s="91"/>
      <c r="AA332" s="96">
        <f t="shared" si="101"/>
        <v>0</v>
      </c>
      <c r="AB332" s="84"/>
    </row>
    <row r="333" spans="26:28" x14ac:dyDescent="0.2">
      <c r="Z333" s="91"/>
      <c r="AA333" s="96">
        <f t="shared" si="101"/>
        <v>0</v>
      </c>
      <c r="AB333" s="84"/>
    </row>
    <row r="334" spans="26:28" x14ac:dyDescent="0.2">
      <c r="Z334" s="91"/>
      <c r="AA334" s="96">
        <f t="shared" si="101"/>
        <v>0</v>
      </c>
      <c r="AB334" s="84"/>
    </row>
    <row r="335" spans="26:28" x14ac:dyDescent="0.2">
      <c r="Z335" s="91"/>
      <c r="AA335" s="96">
        <f t="shared" si="101"/>
        <v>0</v>
      </c>
      <c r="AB335" s="84"/>
    </row>
    <row r="336" spans="26:28" x14ac:dyDescent="0.2">
      <c r="Z336" s="91"/>
      <c r="AA336" s="96">
        <f t="shared" si="101"/>
        <v>0</v>
      </c>
      <c r="AB336" s="84"/>
    </row>
    <row r="337" spans="26:28" x14ac:dyDescent="0.2">
      <c r="Z337" s="91"/>
      <c r="AA337" s="96">
        <f t="shared" si="101"/>
        <v>0</v>
      </c>
      <c r="AB337" s="84"/>
    </row>
    <row r="338" spans="26:28" x14ac:dyDescent="0.2">
      <c r="Z338" s="91"/>
      <c r="AA338" s="96">
        <f t="shared" si="101"/>
        <v>0</v>
      </c>
      <c r="AB338" s="84"/>
    </row>
    <row r="339" spans="26:28" x14ac:dyDescent="0.2">
      <c r="Z339" s="91"/>
      <c r="AA339" s="96">
        <f t="shared" si="101"/>
        <v>0</v>
      </c>
      <c r="AB339" s="84"/>
    </row>
    <row r="340" spans="26:28" x14ac:dyDescent="0.2">
      <c r="Z340" s="91"/>
      <c r="AA340" s="96">
        <f t="shared" si="101"/>
        <v>0</v>
      </c>
      <c r="AB340" s="84"/>
    </row>
    <row r="341" spans="26:28" x14ac:dyDescent="0.2">
      <c r="Z341" s="91"/>
      <c r="AA341" s="96">
        <f t="shared" si="101"/>
        <v>0</v>
      </c>
      <c r="AB341" s="84"/>
    </row>
    <row r="342" spans="26:28" x14ac:dyDescent="0.2">
      <c r="Z342" s="91"/>
      <c r="AA342" s="96">
        <f t="shared" si="101"/>
        <v>0</v>
      </c>
      <c r="AB342" s="84"/>
    </row>
    <row r="343" spans="26:28" x14ac:dyDescent="0.2">
      <c r="Z343" s="91"/>
      <c r="AA343" s="96">
        <f t="shared" si="101"/>
        <v>0</v>
      </c>
      <c r="AB343" s="84"/>
    </row>
    <row r="344" spans="26:28" x14ac:dyDescent="0.2">
      <c r="Z344" s="91"/>
      <c r="AA344" s="96">
        <f t="shared" si="101"/>
        <v>0</v>
      </c>
      <c r="AB344" s="84"/>
    </row>
    <row r="345" spans="26:28" x14ac:dyDescent="0.2">
      <c r="Z345" s="91"/>
      <c r="AA345" s="96">
        <f t="shared" si="101"/>
        <v>0</v>
      </c>
      <c r="AB345" s="84"/>
    </row>
    <row r="346" spans="26:28" x14ac:dyDescent="0.2">
      <c r="Z346" s="91"/>
      <c r="AA346" s="96">
        <f t="shared" si="101"/>
        <v>0</v>
      </c>
      <c r="AB346" s="84"/>
    </row>
    <row r="347" spans="26:28" x14ac:dyDescent="0.2">
      <c r="Z347" s="91"/>
      <c r="AA347" s="96">
        <f t="shared" si="101"/>
        <v>0</v>
      </c>
      <c r="AB347" s="84"/>
    </row>
    <row r="348" spans="26:28" x14ac:dyDescent="0.2">
      <c r="Z348" s="91"/>
      <c r="AA348" s="96">
        <f t="shared" si="101"/>
        <v>0</v>
      </c>
      <c r="AB348" s="84"/>
    </row>
    <row r="349" spans="26:28" x14ac:dyDescent="0.2">
      <c r="Z349" s="91"/>
      <c r="AA349" s="96">
        <f t="shared" si="101"/>
        <v>0</v>
      </c>
      <c r="AB349" s="84"/>
    </row>
    <row r="350" spans="26:28" x14ac:dyDescent="0.2">
      <c r="Z350" s="91"/>
      <c r="AA350" s="96">
        <f t="shared" si="101"/>
        <v>0</v>
      </c>
      <c r="AB350" s="84"/>
    </row>
    <row r="351" spans="26:28" x14ac:dyDescent="0.2">
      <c r="Z351" s="91"/>
      <c r="AA351" s="96">
        <f t="shared" si="101"/>
        <v>0</v>
      </c>
      <c r="AB351" s="84"/>
    </row>
    <row r="352" spans="26:28" x14ac:dyDescent="0.2">
      <c r="Z352" s="91"/>
      <c r="AA352" s="96">
        <f t="shared" si="101"/>
        <v>0</v>
      </c>
      <c r="AB352" s="84"/>
    </row>
    <row r="353" spans="26:28" x14ac:dyDescent="0.2">
      <c r="Z353" s="91"/>
      <c r="AA353" s="96">
        <f t="shared" si="101"/>
        <v>0</v>
      </c>
      <c r="AB353" s="84"/>
    </row>
    <row r="354" spans="26:28" x14ac:dyDescent="0.2">
      <c r="Z354" s="91"/>
      <c r="AA354" s="96">
        <f t="shared" si="101"/>
        <v>0</v>
      </c>
      <c r="AB354" s="84"/>
    </row>
    <row r="355" spans="26:28" x14ac:dyDescent="0.2">
      <c r="Z355" s="91"/>
      <c r="AA355" s="96">
        <f t="shared" si="101"/>
        <v>0</v>
      </c>
      <c r="AB355" s="84"/>
    </row>
    <row r="356" spans="26:28" x14ac:dyDescent="0.2">
      <c r="Z356" s="91"/>
      <c r="AA356" s="96">
        <f t="shared" si="101"/>
        <v>0</v>
      </c>
      <c r="AB356" s="84"/>
    </row>
    <row r="357" spans="26:28" x14ac:dyDescent="0.2">
      <c r="Z357" s="91"/>
      <c r="AA357" s="96">
        <f t="shared" si="101"/>
        <v>0</v>
      </c>
      <c r="AB357" s="84"/>
    </row>
    <row r="358" spans="26:28" x14ac:dyDescent="0.2">
      <c r="Z358" s="91"/>
      <c r="AA358" s="96">
        <f t="shared" si="101"/>
        <v>0</v>
      </c>
      <c r="AB358" s="84"/>
    </row>
    <row r="359" spans="26:28" x14ac:dyDescent="0.2">
      <c r="Z359" s="91"/>
      <c r="AA359" s="96">
        <f t="shared" si="101"/>
        <v>0</v>
      </c>
      <c r="AB359" s="84"/>
    </row>
    <row r="360" spans="26:28" x14ac:dyDescent="0.2">
      <c r="Z360" s="91"/>
      <c r="AA360" s="96">
        <f t="shared" si="101"/>
        <v>0</v>
      </c>
      <c r="AB360" s="84"/>
    </row>
    <row r="361" spans="26:28" x14ac:dyDescent="0.2">
      <c r="Z361" s="91"/>
      <c r="AA361" s="96">
        <f t="shared" si="101"/>
        <v>0</v>
      </c>
      <c r="AB361" s="84"/>
    </row>
    <row r="362" spans="26:28" x14ac:dyDescent="0.2">
      <c r="AA362" s="96">
        <f t="shared" ref="AA362:AA379" si="102">Q362*E362</f>
        <v>0</v>
      </c>
      <c r="AB362" s="93"/>
    </row>
    <row r="363" spans="26:28" x14ac:dyDescent="0.2">
      <c r="AA363" s="96">
        <f t="shared" si="102"/>
        <v>0</v>
      </c>
      <c r="AB363" s="93"/>
    </row>
    <row r="364" spans="26:28" x14ac:dyDescent="0.2">
      <c r="AA364" s="96">
        <f t="shared" si="102"/>
        <v>0</v>
      </c>
      <c r="AB364" s="93"/>
    </row>
    <row r="365" spans="26:28" x14ac:dyDescent="0.2">
      <c r="AA365" s="96">
        <f t="shared" si="102"/>
        <v>0</v>
      </c>
      <c r="AB365" s="93"/>
    </row>
    <row r="366" spans="26:28" x14ac:dyDescent="0.2">
      <c r="AA366" s="96">
        <f t="shared" si="102"/>
        <v>0</v>
      </c>
      <c r="AB366" s="93"/>
    </row>
    <row r="367" spans="26:28" x14ac:dyDescent="0.2">
      <c r="AA367" s="96">
        <f t="shared" si="102"/>
        <v>0</v>
      </c>
      <c r="AB367" s="93"/>
    </row>
    <row r="368" spans="26:28" x14ac:dyDescent="0.2">
      <c r="AA368" s="96">
        <f t="shared" si="102"/>
        <v>0</v>
      </c>
      <c r="AB368" s="93"/>
    </row>
    <row r="369" spans="27:28" x14ac:dyDescent="0.2">
      <c r="AA369" s="96">
        <f t="shared" si="102"/>
        <v>0</v>
      </c>
      <c r="AB369" s="93"/>
    </row>
    <row r="370" spans="27:28" x14ac:dyDescent="0.2">
      <c r="AA370" s="96">
        <f t="shared" si="102"/>
        <v>0</v>
      </c>
      <c r="AB370" s="93"/>
    </row>
    <row r="371" spans="27:28" x14ac:dyDescent="0.2">
      <c r="AA371" s="96">
        <f t="shared" si="102"/>
        <v>0</v>
      </c>
      <c r="AB371" s="93"/>
    </row>
    <row r="372" spans="27:28" x14ac:dyDescent="0.2">
      <c r="AA372" s="96">
        <f t="shared" si="102"/>
        <v>0</v>
      </c>
      <c r="AB372" s="93"/>
    </row>
    <row r="373" spans="27:28" x14ac:dyDescent="0.2">
      <c r="AA373" s="96">
        <f t="shared" si="102"/>
        <v>0</v>
      </c>
      <c r="AB373" s="93"/>
    </row>
    <row r="374" spans="27:28" x14ac:dyDescent="0.2">
      <c r="AA374" s="96">
        <f t="shared" si="102"/>
        <v>0</v>
      </c>
      <c r="AB374" s="93"/>
    </row>
    <row r="375" spans="27:28" x14ac:dyDescent="0.2">
      <c r="AA375" s="96">
        <f t="shared" si="102"/>
        <v>0</v>
      </c>
      <c r="AB375" s="93"/>
    </row>
    <row r="376" spans="27:28" x14ac:dyDescent="0.2">
      <c r="AA376" s="96">
        <f t="shared" si="102"/>
        <v>0</v>
      </c>
      <c r="AB376" s="93"/>
    </row>
    <row r="377" spans="27:28" x14ac:dyDescent="0.2">
      <c r="AA377" s="96">
        <f t="shared" si="102"/>
        <v>0</v>
      </c>
      <c r="AB377" s="93"/>
    </row>
    <row r="378" spans="27:28" x14ac:dyDescent="0.2">
      <c r="AA378" s="96">
        <f t="shared" si="102"/>
        <v>0</v>
      </c>
      <c r="AB378" s="93"/>
    </row>
    <row r="379" spans="27:28" x14ac:dyDescent="0.2">
      <c r="AA379" s="96">
        <f t="shared" si="102"/>
        <v>0</v>
      </c>
      <c r="AB379" s="93"/>
    </row>
    <row r="380" spans="27:28" x14ac:dyDescent="0.2">
      <c r="AB380" s="93"/>
    </row>
    <row r="381" spans="27:28" x14ac:dyDescent="0.2">
      <c r="AB381" s="93"/>
    </row>
    <row r="382" spans="27:28" x14ac:dyDescent="0.2">
      <c r="AB382" s="93"/>
    </row>
    <row r="383" spans="27:28" x14ac:dyDescent="0.2">
      <c r="AB383" s="93"/>
    </row>
    <row r="384" spans="27:28" x14ac:dyDescent="0.2">
      <c r="AB384" s="93"/>
    </row>
    <row r="385" spans="28:28" x14ac:dyDescent="0.2">
      <c r="AB385" s="93"/>
    </row>
    <row r="386" spans="28:28" x14ac:dyDescent="0.2">
      <c r="AB386" s="93"/>
    </row>
    <row r="387" spans="28:28" x14ac:dyDescent="0.2">
      <c r="AB387" s="93"/>
    </row>
    <row r="388" spans="28:28" x14ac:dyDescent="0.2">
      <c r="AB388" s="93"/>
    </row>
    <row r="389" spans="28:28" x14ac:dyDescent="0.2">
      <c r="AB389" s="93"/>
    </row>
    <row r="390" spans="28:28" x14ac:dyDescent="0.2">
      <c r="AB390" s="93"/>
    </row>
    <row r="391" spans="28:28" x14ac:dyDescent="0.2">
      <c r="AB391" s="93"/>
    </row>
    <row r="392" spans="28:28" x14ac:dyDescent="0.2">
      <c r="AB392" s="93"/>
    </row>
    <row r="393" spans="28:28" x14ac:dyDescent="0.2">
      <c r="AB393" s="93"/>
    </row>
    <row r="394" spans="28:28" x14ac:dyDescent="0.2">
      <c r="AB394" s="93"/>
    </row>
    <row r="395" spans="28:28" x14ac:dyDescent="0.2">
      <c r="AB395" s="93"/>
    </row>
    <row r="396" spans="28:28" x14ac:dyDescent="0.2">
      <c r="AB396" s="93"/>
    </row>
    <row r="397" spans="28:28" x14ac:dyDescent="0.2">
      <c r="AB397" s="93"/>
    </row>
    <row r="398" spans="28:28" x14ac:dyDescent="0.2">
      <c r="AB398" s="93"/>
    </row>
    <row r="399" spans="28:28" x14ac:dyDescent="0.2">
      <c r="AB399" s="93"/>
    </row>
    <row r="400" spans="28:28" x14ac:dyDescent="0.2">
      <c r="AB400" s="93"/>
    </row>
    <row r="401" spans="28:28" x14ac:dyDescent="0.2">
      <c r="AB401" s="93"/>
    </row>
    <row r="402" spans="28:28" x14ac:dyDescent="0.2">
      <c r="AB402" s="93"/>
    </row>
    <row r="403" spans="28:28" x14ac:dyDescent="0.2">
      <c r="AB403" s="93"/>
    </row>
    <row r="404" spans="28:28" x14ac:dyDescent="0.2">
      <c r="AB404" s="93"/>
    </row>
    <row r="405" spans="28:28" x14ac:dyDescent="0.2">
      <c r="AB405" s="93"/>
    </row>
    <row r="406" spans="28:28" x14ac:dyDescent="0.2">
      <c r="AB406" s="93"/>
    </row>
    <row r="407" spans="28:28" x14ac:dyDescent="0.2">
      <c r="AB407" s="93"/>
    </row>
    <row r="408" spans="28:28" x14ac:dyDescent="0.2">
      <c r="AB408" s="93"/>
    </row>
    <row r="409" spans="28:28" x14ac:dyDescent="0.2">
      <c r="AB409" s="93"/>
    </row>
    <row r="410" spans="28:28" x14ac:dyDescent="0.2">
      <c r="AB410" s="93"/>
    </row>
    <row r="411" spans="28:28" x14ac:dyDescent="0.2">
      <c r="AB411" s="93"/>
    </row>
    <row r="412" spans="28:28" x14ac:dyDescent="0.2">
      <c r="AB412" s="93"/>
    </row>
    <row r="413" spans="28:28" x14ac:dyDescent="0.2">
      <c r="AB413" s="93"/>
    </row>
    <row r="414" spans="28:28" x14ac:dyDescent="0.2">
      <c r="AB414" s="93"/>
    </row>
    <row r="415" spans="28:28" x14ac:dyDescent="0.2">
      <c r="AB415" s="93"/>
    </row>
    <row r="416" spans="28:28" x14ac:dyDescent="0.2">
      <c r="AB416" s="93"/>
    </row>
    <row r="417" spans="28:28" x14ac:dyDescent="0.2">
      <c r="AB417" s="93"/>
    </row>
  </sheetData>
  <autoFilter ref="A25:AB239" xr:uid="{00000000-0009-0000-0000-000000000000}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6"/>
  <sheetViews>
    <sheetView zoomScale="110" workbookViewId="0">
      <selection activeCell="C11" sqref="C11"/>
    </sheetView>
  </sheetViews>
  <sheetFormatPr defaultRowHeight="12.75" x14ac:dyDescent="0.2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 x14ac:dyDescent="0.25">
      <c r="A1" s="357" t="s">
        <v>6</v>
      </c>
      <c r="B1" s="357"/>
      <c r="C1" s="357"/>
      <c r="D1" s="357"/>
    </row>
    <row r="2" spans="1:4" ht="24.75" customHeight="1" x14ac:dyDescent="0.25">
      <c r="A2" s="357" t="s">
        <v>503</v>
      </c>
      <c r="B2" s="357"/>
      <c r="C2" s="357"/>
      <c r="D2" s="357"/>
    </row>
    <row r="3" spans="1:4" ht="19.5" customHeight="1" x14ac:dyDescent="0.25">
      <c r="A3" s="357" t="s">
        <v>504</v>
      </c>
      <c r="B3" s="357"/>
      <c r="C3" s="357"/>
      <c r="D3" s="357"/>
    </row>
    <row r="5" spans="1:4" ht="15" customHeight="1" x14ac:dyDescent="0.25">
      <c r="A5" s="357" t="s">
        <v>505</v>
      </c>
      <c r="B5" s="357"/>
      <c r="C5" s="357"/>
      <c r="D5" s="357"/>
    </row>
    <row r="7" spans="1:4" s="9" customFormat="1" x14ac:dyDescent="0.25">
      <c r="A7" s="11" t="s">
        <v>506</v>
      </c>
      <c r="B7" s="8" t="s">
        <v>507</v>
      </c>
      <c r="C7" s="15" t="s">
        <v>508</v>
      </c>
      <c r="D7" s="8" t="s">
        <v>509</v>
      </c>
    </row>
    <row r="8" spans="1:4" x14ac:dyDescent="0.25">
      <c r="C8" s="13"/>
    </row>
    <row r="9" spans="1:4" s="9" customFormat="1" x14ac:dyDescent="0.25">
      <c r="A9" s="1">
        <v>6</v>
      </c>
      <c r="B9" s="2" t="s">
        <v>144</v>
      </c>
      <c r="C9" s="16"/>
      <c r="D9" s="8"/>
    </row>
    <row r="10" spans="1:4" x14ac:dyDescent="0.25">
      <c r="A10" s="3"/>
      <c r="B10" s="4"/>
      <c r="C10" s="14"/>
      <c r="D10" s="4"/>
    </row>
    <row r="11" spans="1:4" s="9" customFormat="1" x14ac:dyDescent="0.25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 x14ac:dyDescent="0.25">
      <c r="A12" s="5"/>
      <c r="B12" s="6"/>
      <c r="C12" s="18"/>
      <c r="D12" s="6"/>
    </row>
    <row r="13" spans="1:4" x14ac:dyDescent="0.2">
      <c r="A13" s="5"/>
      <c r="B13" s="6" t="s">
        <v>511</v>
      </c>
      <c r="C13" s="125">
        <v>1114</v>
      </c>
      <c r="D13" s="127" t="s">
        <v>512</v>
      </c>
    </row>
    <row r="14" spans="1:4" s="12" customFormat="1" x14ac:dyDescent="0.25">
      <c r="A14" s="3"/>
      <c r="B14" s="4"/>
      <c r="C14" s="14"/>
      <c r="D14" s="4"/>
    </row>
    <row r="15" spans="1:4" x14ac:dyDescent="0.25">
      <c r="A15" s="3"/>
      <c r="B15" s="6" t="s">
        <v>513</v>
      </c>
      <c r="C15" s="18">
        <v>7</v>
      </c>
      <c r="D15" s="6" t="s">
        <v>514</v>
      </c>
    </row>
    <row r="16" spans="1:4" x14ac:dyDescent="0.25">
      <c r="A16" s="3"/>
      <c r="B16" s="6"/>
      <c r="C16" s="18"/>
      <c r="D16" s="6"/>
    </row>
    <row r="17" spans="1:4" s="12" customFormat="1" x14ac:dyDescent="0.25">
      <c r="A17" s="3"/>
      <c r="B17" s="4" t="s">
        <v>515</v>
      </c>
      <c r="C17" s="14">
        <v>1</v>
      </c>
      <c r="D17" s="4" t="s">
        <v>516</v>
      </c>
    </row>
    <row r="18" spans="1:4" x14ac:dyDescent="0.25">
      <c r="A18" s="3"/>
      <c r="B18" s="6"/>
      <c r="C18" s="18"/>
      <c r="D18" s="6"/>
    </row>
    <row r="19" spans="1:4" x14ac:dyDescent="0.25">
      <c r="A19" s="3"/>
      <c r="B19" s="129" t="s">
        <v>517</v>
      </c>
      <c r="C19" s="18"/>
      <c r="D19" s="6"/>
    </row>
    <row r="20" spans="1:4" ht="13.5" thickBot="1" x14ac:dyDescent="0.3">
      <c r="A20" s="3"/>
      <c r="B20" s="130" t="s">
        <v>518</v>
      </c>
    </row>
    <row r="21" spans="1:4" ht="13.5" thickBot="1" x14ac:dyDescent="0.3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 x14ac:dyDescent="0.25">
      <c r="A22" s="3"/>
      <c r="B22" s="6"/>
      <c r="C22" s="18"/>
      <c r="D22" s="6"/>
    </row>
    <row r="23" spans="1:4" x14ac:dyDescent="0.25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 x14ac:dyDescent="0.25">
      <c r="A24" s="3"/>
      <c r="B24" s="6"/>
      <c r="C24" s="18"/>
      <c r="D24" s="6"/>
    </row>
    <row r="25" spans="1:4" s="12" customFormat="1" x14ac:dyDescent="0.25">
      <c r="A25" s="3"/>
      <c r="B25" s="126" t="s">
        <v>521</v>
      </c>
      <c r="C25" s="128">
        <f>ROUND(C23/C13,4)</f>
        <v>0.1429</v>
      </c>
      <c r="D25" s="4"/>
    </row>
    <row r="26" spans="1:4" x14ac:dyDescent="0.25">
      <c r="A26" s="3"/>
      <c r="B26" s="4"/>
      <c r="C26" s="14"/>
      <c r="D26" s="4"/>
    </row>
    <row r="27" spans="1:4" s="9" customFormat="1" hidden="1" x14ac:dyDescent="0.25">
      <c r="A27" s="1">
        <v>10</v>
      </c>
      <c r="B27" s="2" t="s">
        <v>194</v>
      </c>
      <c r="C27" s="16"/>
      <c r="D27" s="8"/>
    </row>
    <row r="28" spans="1:4" hidden="1" x14ac:dyDescent="0.25">
      <c r="A28" s="3"/>
      <c r="B28" s="4"/>
      <c r="C28" s="14"/>
      <c r="D28" s="4"/>
    </row>
    <row r="29" spans="1:4" s="9" customFormat="1" hidden="1" x14ac:dyDescent="0.25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 x14ac:dyDescent="0.2">
      <c r="A30" s="5"/>
      <c r="B30" s="6"/>
      <c r="C30" s="142"/>
      <c r="D30" s="125"/>
    </row>
    <row r="31" spans="1:4" hidden="1" x14ac:dyDescent="0.2">
      <c r="A31" s="5"/>
      <c r="B31" s="6" t="s">
        <v>511</v>
      </c>
      <c r="C31" s="125">
        <v>1114</v>
      </c>
      <c r="D31" s="127" t="s">
        <v>512</v>
      </c>
    </row>
    <row r="32" spans="1:4" hidden="1" x14ac:dyDescent="0.25">
      <c r="A32" s="3"/>
      <c r="B32" s="4"/>
      <c r="C32" s="14"/>
      <c r="D32" s="4"/>
    </row>
    <row r="33" spans="1:4" hidden="1" x14ac:dyDescent="0.25">
      <c r="A33" s="3"/>
      <c r="B33" s="6" t="s">
        <v>513</v>
      </c>
      <c r="C33" s="18">
        <v>7</v>
      </c>
      <c r="D33" s="6" t="s">
        <v>514</v>
      </c>
    </row>
    <row r="34" spans="1:4" hidden="1" x14ac:dyDescent="0.25">
      <c r="A34" s="3"/>
      <c r="B34" s="6"/>
      <c r="C34" s="18"/>
      <c r="D34" s="6"/>
    </row>
    <row r="35" spans="1:4" hidden="1" x14ac:dyDescent="0.25">
      <c r="A35" s="3"/>
      <c r="B35" s="4" t="s">
        <v>515</v>
      </c>
      <c r="C35" s="14"/>
      <c r="D35" s="4" t="s">
        <v>516</v>
      </c>
    </row>
    <row r="36" spans="1:4" hidden="1" x14ac:dyDescent="0.25">
      <c r="A36" s="3"/>
      <c r="B36" s="6"/>
      <c r="C36" s="18"/>
      <c r="D36" s="6"/>
    </row>
    <row r="37" spans="1:4" hidden="1" x14ac:dyDescent="0.25">
      <c r="A37" s="3"/>
      <c r="B37" s="129" t="s">
        <v>517</v>
      </c>
      <c r="C37" s="18"/>
      <c r="D37" s="6"/>
    </row>
    <row r="38" spans="1:4" ht="13.5" hidden="1" thickBot="1" x14ac:dyDescent="0.3">
      <c r="A38" s="3"/>
      <c r="B38" s="130" t="s">
        <v>518</v>
      </c>
    </row>
    <row r="39" spans="1:4" ht="13.5" hidden="1" thickBot="1" x14ac:dyDescent="0.3">
      <c r="A39" s="3"/>
      <c r="B39" s="131" t="s">
        <v>519</v>
      </c>
      <c r="C39" s="18">
        <f>C35*C31/C33</f>
        <v>0</v>
      </c>
      <c r="D39" s="6" t="s">
        <v>510</v>
      </c>
    </row>
    <row r="40" spans="1:4" hidden="1" x14ac:dyDescent="0.25">
      <c r="A40" s="3"/>
      <c r="B40" s="6"/>
      <c r="C40" s="18"/>
      <c r="D40" s="6"/>
    </row>
    <row r="41" spans="1:4" hidden="1" x14ac:dyDescent="0.25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 x14ac:dyDescent="0.25">
      <c r="A42" s="3"/>
      <c r="B42" s="6"/>
      <c r="C42" s="18"/>
      <c r="D42" s="6"/>
    </row>
    <row r="43" spans="1:4" hidden="1" x14ac:dyDescent="0.25">
      <c r="A43" s="3"/>
      <c r="B43" s="126" t="s">
        <v>521</v>
      </c>
      <c r="C43" s="128">
        <f>ROUND(C41/C31,4)</f>
        <v>0</v>
      </c>
      <c r="D43" s="4"/>
    </row>
    <row r="44" spans="1:4" hidden="1" x14ac:dyDescent="0.25">
      <c r="A44" s="3"/>
      <c r="B44" s="126"/>
      <c r="C44" s="128"/>
      <c r="D44" s="4"/>
    </row>
    <row r="45" spans="1:4" s="9" customFormat="1" hidden="1" x14ac:dyDescent="0.25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 x14ac:dyDescent="0.25">
      <c r="A46" s="5"/>
      <c r="B46" s="6"/>
      <c r="C46" s="5"/>
      <c r="D46" s="4"/>
    </row>
    <row r="47" spans="1:4" hidden="1" x14ac:dyDescent="0.2">
      <c r="A47" s="5"/>
      <c r="B47" s="6" t="s">
        <v>511</v>
      </c>
      <c r="C47" s="125">
        <v>1114</v>
      </c>
      <c r="D47" s="127" t="s">
        <v>512</v>
      </c>
    </row>
    <row r="48" spans="1:4" hidden="1" x14ac:dyDescent="0.25">
      <c r="A48" s="3"/>
      <c r="B48" s="4"/>
      <c r="C48" s="14"/>
      <c r="D48" s="4"/>
    </row>
    <row r="49" spans="1:4" hidden="1" x14ac:dyDescent="0.25">
      <c r="A49" s="3"/>
      <c r="B49" s="6" t="s">
        <v>513</v>
      </c>
      <c r="C49" s="18">
        <v>7</v>
      </c>
      <c r="D49" s="6" t="s">
        <v>514</v>
      </c>
    </row>
    <row r="50" spans="1:4" hidden="1" x14ac:dyDescent="0.25">
      <c r="A50" s="3"/>
      <c r="B50" s="6"/>
      <c r="C50" s="18"/>
      <c r="D50" s="6"/>
    </row>
    <row r="51" spans="1:4" s="12" customFormat="1" hidden="1" x14ac:dyDescent="0.25">
      <c r="A51" s="3"/>
      <c r="B51" s="4" t="s">
        <v>515</v>
      </c>
      <c r="C51" s="14"/>
      <c r="D51" s="4" t="s">
        <v>516</v>
      </c>
    </row>
    <row r="52" spans="1:4" hidden="1" x14ac:dyDescent="0.25">
      <c r="A52" s="3"/>
      <c r="B52" s="6"/>
      <c r="C52" s="18"/>
      <c r="D52" s="6"/>
    </row>
    <row r="53" spans="1:4" hidden="1" x14ac:dyDescent="0.25">
      <c r="A53" s="3"/>
      <c r="B53" s="129" t="s">
        <v>517</v>
      </c>
      <c r="C53" s="18"/>
      <c r="D53" s="6"/>
    </row>
    <row r="54" spans="1:4" ht="13.5" hidden="1" thickBot="1" x14ac:dyDescent="0.3">
      <c r="A54" s="3"/>
      <c r="B54" s="130" t="s">
        <v>518</v>
      </c>
    </row>
    <row r="55" spans="1:4" ht="13.5" hidden="1" thickBot="1" x14ac:dyDescent="0.3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 x14ac:dyDescent="0.25">
      <c r="A56" s="3"/>
      <c r="B56" s="6"/>
      <c r="C56" s="18"/>
      <c r="D56" s="6"/>
    </row>
    <row r="57" spans="1:4" hidden="1" x14ac:dyDescent="0.25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 x14ac:dyDescent="0.25">
      <c r="A58" s="3"/>
      <c r="B58" s="6"/>
      <c r="C58" s="18"/>
      <c r="D58" s="6"/>
    </row>
    <row r="59" spans="1:4" hidden="1" x14ac:dyDescent="0.25">
      <c r="A59" s="3"/>
      <c r="B59" s="126" t="s">
        <v>521</v>
      </c>
      <c r="C59" s="128">
        <f>ROUND(C57/C47,4)</f>
        <v>0</v>
      </c>
      <c r="D59" s="4"/>
    </row>
    <row r="60" spans="1:4" hidden="1" x14ac:dyDescent="0.25"/>
    <row r="61" spans="1:4" hidden="1" x14ac:dyDescent="0.25"/>
    <row r="62" spans="1:4" hidden="1" x14ac:dyDescent="0.25"/>
    <row r="63" spans="1:4" hidden="1" x14ac:dyDescent="0.25"/>
    <row r="64" spans="1:4" s="9" customFormat="1" x14ac:dyDescent="0.25">
      <c r="A64" s="1">
        <v>10</v>
      </c>
      <c r="B64" s="2" t="s">
        <v>194</v>
      </c>
      <c r="C64" s="16"/>
      <c r="D64" s="8"/>
    </row>
    <row r="65" spans="1:4" x14ac:dyDescent="0.25">
      <c r="A65" s="3"/>
      <c r="B65" s="4"/>
      <c r="C65" s="14"/>
      <c r="D65" s="4"/>
    </row>
    <row r="66" spans="1:4" s="9" customFormat="1" x14ac:dyDescent="0.25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 x14ac:dyDescent="0.2">
      <c r="A67" s="5"/>
      <c r="B67" s="6"/>
      <c r="C67" s="142"/>
      <c r="D67" s="125"/>
    </row>
    <row r="68" spans="1:4" x14ac:dyDescent="0.2">
      <c r="A68" s="5"/>
      <c r="B68" s="6" t="s">
        <v>511</v>
      </c>
      <c r="C68" s="125">
        <v>1114</v>
      </c>
      <c r="D68" s="127" t="s">
        <v>512</v>
      </c>
    </row>
    <row r="69" spans="1:4" x14ac:dyDescent="0.25">
      <c r="A69" s="3"/>
      <c r="B69" s="4"/>
      <c r="C69" s="14"/>
      <c r="D69" s="4"/>
    </row>
    <row r="70" spans="1:4" x14ac:dyDescent="0.25">
      <c r="A70" s="3"/>
      <c r="B70" s="6" t="s">
        <v>513</v>
      </c>
      <c r="C70" s="18">
        <v>7</v>
      </c>
      <c r="D70" s="6" t="s">
        <v>514</v>
      </c>
    </row>
    <row r="71" spans="1:4" x14ac:dyDescent="0.25">
      <c r="A71" s="3"/>
      <c r="B71" s="6"/>
      <c r="C71" s="18"/>
      <c r="D71" s="6"/>
    </row>
    <row r="72" spans="1:4" x14ac:dyDescent="0.25">
      <c r="A72" s="3"/>
      <c r="B72" s="4" t="s">
        <v>515</v>
      </c>
      <c r="C72" s="14">
        <v>1</v>
      </c>
      <c r="D72" s="4" t="s">
        <v>516</v>
      </c>
    </row>
    <row r="73" spans="1:4" x14ac:dyDescent="0.25">
      <c r="A73" s="3"/>
      <c r="B73" s="6"/>
      <c r="C73" s="18"/>
      <c r="D73" s="6"/>
    </row>
    <row r="74" spans="1:4" x14ac:dyDescent="0.25">
      <c r="A74" s="3"/>
      <c r="B74" s="129" t="s">
        <v>517</v>
      </c>
      <c r="C74" s="18"/>
      <c r="D74" s="6"/>
    </row>
    <row r="75" spans="1:4" ht="13.5" thickBot="1" x14ac:dyDescent="0.3">
      <c r="A75" s="3"/>
      <c r="B75" s="130" t="s">
        <v>518</v>
      </c>
    </row>
    <row r="76" spans="1:4" ht="13.5" thickBot="1" x14ac:dyDescent="0.3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 x14ac:dyDescent="0.25">
      <c r="A77" s="3"/>
      <c r="B77" s="6"/>
      <c r="C77" s="18"/>
      <c r="D77" s="6"/>
    </row>
    <row r="78" spans="1:4" x14ac:dyDescent="0.25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 x14ac:dyDescent="0.25">
      <c r="A79" s="3"/>
      <c r="B79" s="6"/>
      <c r="C79" s="18"/>
      <c r="D79" s="6"/>
    </row>
    <row r="80" spans="1:4" x14ac:dyDescent="0.25">
      <c r="A80" s="3"/>
      <c r="B80" s="126" t="s">
        <v>521</v>
      </c>
      <c r="C80" s="128">
        <f>ROUND(C78/C68,4)</f>
        <v>0.1429</v>
      </c>
      <c r="D80" s="4"/>
    </row>
    <row r="81" spans="1:4" x14ac:dyDescent="0.25">
      <c r="A81" s="3"/>
      <c r="B81" s="126"/>
      <c r="C81" s="128"/>
      <c r="D81" s="4"/>
    </row>
    <row r="82" spans="1:4" s="9" customFormat="1" x14ac:dyDescent="0.25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 x14ac:dyDescent="0.25">
      <c r="A83" s="5"/>
      <c r="B83" s="6"/>
      <c r="C83" s="5"/>
      <c r="D83" s="4"/>
    </row>
    <row r="84" spans="1:4" x14ac:dyDescent="0.2">
      <c r="A84" s="5"/>
      <c r="B84" s="6" t="s">
        <v>511</v>
      </c>
      <c r="C84" s="125">
        <v>1114</v>
      </c>
      <c r="D84" s="127" t="s">
        <v>512</v>
      </c>
    </row>
    <row r="85" spans="1:4" x14ac:dyDescent="0.25">
      <c r="A85" s="3"/>
      <c r="B85" s="4"/>
      <c r="C85" s="14"/>
      <c r="D85" s="4"/>
    </row>
    <row r="86" spans="1:4" x14ac:dyDescent="0.25">
      <c r="A86" s="3"/>
      <c r="B86" s="6" t="s">
        <v>513</v>
      </c>
      <c r="C86" s="18">
        <v>7</v>
      </c>
      <c r="D86" s="6" t="s">
        <v>514</v>
      </c>
    </row>
    <row r="87" spans="1:4" x14ac:dyDescent="0.25">
      <c r="A87" s="3"/>
      <c r="B87" s="6"/>
      <c r="C87" s="18"/>
      <c r="D87" s="6"/>
    </row>
    <row r="88" spans="1:4" s="12" customFormat="1" x14ac:dyDescent="0.25">
      <c r="A88" s="3"/>
      <c r="B88" s="4" t="s">
        <v>515</v>
      </c>
      <c r="C88" s="14">
        <v>1</v>
      </c>
      <c r="D88" s="4" t="s">
        <v>516</v>
      </c>
    </row>
    <row r="89" spans="1:4" x14ac:dyDescent="0.25">
      <c r="A89" s="3"/>
      <c r="B89" s="6"/>
      <c r="C89" s="18"/>
      <c r="D89" s="6"/>
    </row>
    <row r="90" spans="1:4" x14ac:dyDescent="0.25">
      <c r="A90" s="3"/>
      <c r="B90" s="129" t="s">
        <v>517</v>
      </c>
      <c r="C90" s="18"/>
      <c r="D90" s="6"/>
    </row>
    <row r="91" spans="1:4" ht="13.5" thickBot="1" x14ac:dyDescent="0.3">
      <c r="A91" s="3"/>
      <c r="B91" s="130" t="s">
        <v>518</v>
      </c>
    </row>
    <row r="92" spans="1:4" ht="13.5" thickBot="1" x14ac:dyDescent="0.3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 x14ac:dyDescent="0.25">
      <c r="A93" s="3"/>
      <c r="B93" s="6"/>
      <c r="C93" s="18"/>
      <c r="D93" s="6"/>
    </row>
    <row r="94" spans="1:4" x14ac:dyDescent="0.25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 x14ac:dyDescent="0.25">
      <c r="A95" s="3"/>
      <c r="B95" s="6"/>
      <c r="C95" s="18"/>
      <c r="D95" s="6"/>
    </row>
    <row r="96" spans="1:4" x14ac:dyDescent="0.25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topLeftCell="A7" zoomScale="150" workbookViewId="0">
      <selection activeCell="D13" sqref="D13"/>
    </sheetView>
  </sheetViews>
  <sheetFormatPr defaultRowHeight="18.75" x14ac:dyDescent="0.3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 x14ac:dyDescent="0.35">
      <c r="A1" s="358" t="s">
        <v>522</v>
      </c>
      <c r="B1" s="359"/>
      <c r="C1" s="360"/>
    </row>
    <row r="2" spans="1:4" x14ac:dyDescent="0.3">
      <c r="A2" s="122" t="s">
        <v>506</v>
      </c>
      <c r="B2" s="122" t="s">
        <v>523</v>
      </c>
      <c r="C2" s="122" t="s">
        <v>524</v>
      </c>
    </row>
    <row r="3" spans="1:4" x14ac:dyDescent="0.3">
      <c r="A3" s="118" t="s">
        <v>525</v>
      </c>
      <c r="B3" s="119">
        <v>62112.09</v>
      </c>
      <c r="C3" s="120" t="s">
        <v>526</v>
      </c>
    </row>
    <row r="4" spans="1:4" x14ac:dyDescent="0.3">
      <c r="A4" s="118" t="s">
        <v>527</v>
      </c>
      <c r="B4" s="119">
        <v>32073.11</v>
      </c>
      <c r="C4" s="120" t="s">
        <v>526</v>
      </c>
    </row>
    <row r="5" spans="1:4" x14ac:dyDescent="0.3">
      <c r="A5" s="118" t="s">
        <v>528</v>
      </c>
      <c r="B5" s="119">
        <v>11237.65</v>
      </c>
      <c r="C5" s="120" t="s">
        <v>526</v>
      </c>
    </row>
    <row r="6" spans="1:4" x14ac:dyDescent="0.3">
      <c r="A6" s="118" t="s">
        <v>529</v>
      </c>
      <c r="B6" s="119">
        <v>17485.513199999998</v>
      </c>
      <c r="C6" s="120" t="s">
        <v>526</v>
      </c>
    </row>
    <row r="7" spans="1:4" x14ac:dyDescent="0.3">
      <c r="A7" s="118" t="s">
        <v>530</v>
      </c>
      <c r="B7" s="119" t="e">
        <f>'PLAN. ORÇAMENTO'!AA233</f>
        <v>#REF!</v>
      </c>
      <c r="C7" s="120" t="s">
        <v>526</v>
      </c>
    </row>
    <row r="8" spans="1:4" x14ac:dyDescent="0.3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 x14ac:dyDescent="0.3">
      <c r="A9" s="133" t="s">
        <v>533</v>
      </c>
      <c r="B9" s="134" t="e">
        <f>SUM(B3:B7)</f>
        <v>#REF!</v>
      </c>
      <c r="C9" s="135"/>
    </row>
    <row r="10" spans="1:4" x14ac:dyDescent="0.3">
      <c r="A10" s="112" t="s">
        <v>532</v>
      </c>
      <c r="B10" s="113" t="e">
        <f>B8</f>
        <v>#REF!</v>
      </c>
    </row>
    <row r="11" spans="1:4" x14ac:dyDescent="0.3">
      <c r="A11" s="114" t="s">
        <v>534</v>
      </c>
      <c r="B11" s="115" t="e">
        <f>SUM(B9:B10)</f>
        <v>#REF!</v>
      </c>
      <c r="C11" s="132"/>
      <c r="D11" s="132"/>
    </row>
    <row r="13" spans="1:4" x14ac:dyDescent="0.3">
      <c r="A13" s="114" t="s">
        <v>535</v>
      </c>
      <c r="B13" s="115">
        <v>550194.43999999994</v>
      </c>
      <c r="C13" s="132"/>
      <c r="D13" s="132"/>
    </row>
    <row r="14" spans="1:4" x14ac:dyDescent="0.3">
      <c r="A14" s="108"/>
      <c r="B14" s="109"/>
    </row>
    <row r="15" spans="1:4" x14ac:dyDescent="0.3">
      <c r="A15" s="123" t="s">
        <v>536</v>
      </c>
      <c r="B15" s="124" t="e">
        <f>B13-B9</f>
        <v>#REF!</v>
      </c>
    </row>
    <row r="16" spans="1:4" x14ac:dyDescent="0.3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03"/>
  <sheetViews>
    <sheetView tabSelected="1" view="pageBreakPreview" topLeftCell="B14" zoomScale="80" zoomScaleNormal="90" zoomScaleSheetLayoutView="80" workbookViewId="0">
      <pane ySplit="1875" topLeftCell="A5" activePane="bottomLeft"/>
      <selection activeCell="H15" sqref="H15"/>
      <selection pane="bottomLeft" activeCell="H10" sqref="H10:K10"/>
    </sheetView>
  </sheetViews>
  <sheetFormatPr defaultRowHeight="12.75" x14ac:dyDescent="0.25"/>
  <cols>
    <col min="1" max="1" width="7.42578125" style="228" customWidth="1"/>
    <col min="2" max="2" width="49.42578125" style="228" customWidth="1"/>
    <col min="3" max="3" width="9.42578125" style="228" customWidth="1"/>
    <col min="4" max="4" width="11.5703125" style="369" customWidth="1"/>
    <col min="5" max="5" width="13" style="263" customWidth="1"/>
    <col min="6" max="6" width="22.5703125" style="237" customWidth="1"/>
    <col min="7" max="7" width="11.5703125" style="248" customWidth="1"/>
    <col min="8" max="8" width="12.140625" style="453" customWidth="1"/>
    <col min="9" max="9" width="12.140625" style="249" customWidth="1"/>
    <col min="10" max="10" width="5.5703125" style="246" hidden="1" customWidth="1"/>
    <col min="11" max="11" width="17.5703125" style="237" customWidth="1"/>
    <col min="12" max="12" width="20.7109375" style="251" customWidth="1"/>
    <col min="13" max="13" width="22.28515625" style="228" customWidth="1"/>
    <col min="14" max="14" width="19" style="228" customWidth="1"/>
    <col min="15" max="15" width="19.140625" style="228" customWidth="1"/>
    <col min="16" max="16" width="10.28515625" style="228" customWidth="1"/>
    <col min="17" max="16384" width="9.140625" style="228"/>
  </cols>
  <sheetData>
    <row r="2" spans="1:16" ht="14.25" customHeight="1" x14ac:dyDescent="0.25">
      <c r="A2" s="545" t="s">
        <v>538</v>
      </c>
      <c r="B2" s="545"/>
      <c r="C2" s="545"/>
      <c r="D2" s="367"/>
      <c r="E2" s="250"/>
      <c r="F2" s="250"/>
      <c r="G2" s="250"/>
      <c r="H2" s="452"/>
      <c r="I2" s="250"/>
      <c r="J2" s="250"/>
      <c r="K2" s="250"/>
      <c r="L2" s="250"/>
      <c r="M2" s="250"/>
      <c r="N2" s="227"/>
      <c r="O2" s="227"/>
      <c r="P2" s="227"/>
    </row>
    <row r="3" spans="1:16" ht="41.25" customHeight="1" x14ac:dyDescent="0.25">
      <c r="A3" s="545" t="s">
        <v>539</v>
      </c>
      <c r="B3" s="545"/>
      <c r="C3" s="545"/>
      <c r="D3" s="367"/>
      <c r="E3" s="250"/>
      <c r="F3" s="250"/>
      <c r="G3" s="250"/>
      <c r="H3" s="452"/>
      <c r="I3" s="250"/>
      <c r="J3" s="250"/>
      <c r="K3" s="250"/>
      <c r="L3" s="250"/>
      <c r="M3" s="250"/>
      <c r="N3" s="227"/>
      <c r="O3" s="227"/>
      <c r="P3" s="227"/>
    </row>
    <row r="4" spans="1:16" ht="51.75" hidden="1" customHeight="1" x14ac:dyDescent="0.25">
      <c r="A4" s="361" t="s">
        <v>540</v>
      </c>
      <c r="B4" s="361"/>
      <c r="C4" s="250"/>
      <c r="D4" s="368"/>
      <c r="E4" s="250"/>
      <c r="F4" s="250"/>
      <c r="G4" s="250"/>
      <c r="H4" s="452"/>
      <c r="I4" s="250"/>
      <c r="J4" s="250"/>
      <c r="K4" s="250"/>
      <c r="L4" s="250"/>
      <c r="M4" s="250"/>
      <c r="N4" s="227"/>
      <c r="O4" s="227"/>
      <c r="P4" s="227"/>
    </row>
    <row r="5" spans="1:16" ht="3" customHeight="1" x14ac:dyDescent="0.25"/>
    <row r="6" spans="1:16" ht="25.5" customHeight="1" x14ac:dyDescent="0.25">
      <c r="A6" s="549" t="s">
        <v>0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1"/>
    </row>
    <row r="7" spans="1:16" ht="27.75" customHeight="1" x14ac:dyDescent="0.25">
      <c r="A7" s="528" t="s">
        <v>1</v>
      </c>
      <c r="B7" s="529"/>
      <c r="C7" s="529"/>
      <c r="D7" s="529"/>
      <c r="E7" s="530"/>
      <c r="F7" s="230" t="s">
        <v>2</v>
      </c>
      <c r="G7" s="231" t="s">
        <v>3</v>
      </c>
      <c r="H7" s="563" t="s">
        <v>4</v>
      </c>
      <c r="I7" s="564"/>
      <c r="J7" s="564"/>
      <c r="K7" s="565"/>
      <c r="L7" s="534" t="s">
        <v>5</v>
      </c>
      <c r="M7" s="535"/>
    </row>
    <row r="8" spans="1:16" ht="14.25" customHeight="1" x14ac:dyDescent="0.25">
      <c r="A8" s="546" t="s">
        <v>539</v>
      </c>
      <c r="B8" s="547"/>
      <c r="C8" s="547"/>
      <c r="D8" s="547"/>
      <c r="E8" s="548"/>
      <c r="F8" s="451" t="s">
        <v>921</v>
      </c>
      <c r="G8" s="486">
        <v>45532</v>
      </c>
      <c r="H8" s="566" t="s">
        <v>922</v>
      </c>
      <c r="I8" s="567"/>
      <c r="J8" s="567"/>
      <c r="K8" s="568"/>
      <c r="L8" s="561">
        <v>43865</v>
      </c>
      <c r="M8" s="562"/>
    </row>
    <row r="9" spans="1:16" ht="24.75" customHeight="1" x14ac:dyDescent="0.25">
      <c r="A9" s="528" t="s">
        <v>8</v>
      </c>
      <c r="B9" s="529"/>
      <c r="C9" s="529"/>
      <c r="D9" s="529"/>
      <c r="E9" s="530"/>
      <c r="F9" s="230" t="s">
        <v>9</v>
      </c>
      <c r="G9" s="231" t="s">
        <v>10</v>
      </c>
      <c r="H9" s="563" t="s">
        <v>11</v>
      </c>
      <c r="I9" s="564"/>
      <c r="J9" s="564"/>
      <c r="K9" s="565"/>
      <c r="L9" s="534" t="s">
        <v>12</v>
      </c>
      <c r="M9" s="535"/>
      <c r="N9" s="290"/>
    </row>
    <row r="10" spans="1:16" ht="15" customHeight="1" x14ac:dyDescent="0.25">
      <c r="A10" s="546" t="s">
        <v>541</v>
      </c>
      <c r="B10" s="547"/>
      <c r="C10" s="547"/>
      <c r="D10" s="547"/>
      <c r="E10" s="548"/>
      <c r="F10" s="232" t="s">
        <v>542</v>
      </c>
      <c r="G10" s="287">
        <v>43866</v>
      </c>
      <c r="H10" s="552">
        <v>45575</v>
      </c>
      <c r="I10" s="553"/>
      <c r="J10" s="553"/>
      <c r="K10" s="554"/>
      <c r="L10" s="561" t="s">
        <v>543</v>
      </c>
      <c r="M10" s="562"/>
    </row>
    <row r="11" spans="1:16" ht="13.5" customHeight="1" x14ac:dyDescent="0.25">
      <c r="A11" s="528" t="s">
        <v>16</v>
      </c>
      <c r="B11" s="529"/>
      <c r="C11" s="529"/>
      <c r="D11" s="529"/>
      <c r="E11" s="530"/>
      <c r="F11" s="555" t="s">
        <v>17</v>
      </c>
      <c r="G11" s="556"/>
      <c r="H11" s="556"/>
      <c r="I11" s="556"/>
      <c r="J11" s="556"/>
      <c r="K11" s="557"/>
      <c r="L11" s="534" t="s">
        <v>18</v>
      </c>
      <c r="M11" s="535"/>
    </row>
    <row r="12" spans="1:16" ht="25.5" customHeight="1" x14ac:dyDescent="0.25">
      <c r="A12" s="531" t="s">
        <v>544</v>
      </c>
      <c r="B12" s="532"/>
      <c r="C12" s="532"/>
      <c r="D12" s="532"/>
      <c r="E12" s="533"/>
      <c r="F12" s="558" t="s">
        <v>545</v>
      </c>
      <c r="G12" s="559"/>
      <c r="H12" s="559"/>
      <c r="I12" s="559"/>
      <c r="J12" s="559"/>
      <c r="K12" s="560"/>
      <c r="L12" s="536">
        <f>SUM(F17,F24,F29,F60,F107,F110,F122,F126,F140,F178,F215,F255,F262,F268,F276,F285)-0.01</f>
        <v>884478.5520626998</v>
      </c>
      <c r="M12" s="537"/>
      <c r="N12" s="290"/>
    </row>
    <row r="13" spans="1:16" ht="16.5" customHeight="1" x14ac:dyDescent="0.25">
      <c r="A13" s="511"/>
      <c r="B13" s="510"/>
      <c r="C13" s="510"/>
      <c r="D13" s="510"/>
      <c r="E13" s="510"/>
      <c r="F13" s="512"/>
      <c r="G13" s="542" t="s">
        <v>21</v>
      </c>
      <c r="H13" s="543"/>
      <c r="I13" s="543"/>
      <c r="J13" s="543"/>
      <c r="K13" s="544"/>
      <c r="L13" s="536">
        <f>L290</f>
        <v>26285.835069000001</v>
      </c>
      <c r="M13" s="537"/>
      <c r="N13" s="254"/>
    </row>
    <row r="14" spans="1:16" ht="14.25" customHeight="1" x14ac:dyDescent="0.25">
      <c r="A14" s="525"/>
      <c r="B14" s="526"/>
      <c r="C14" s="525" t="s">
        <v>29</v>
      </c>
      <c r="D14" s="538"/>
      <c r="E14" s="538"/>
      <c r="F14" s="526"/>
      <c r="G14" s="539" t="s">
        <v>546</v>
      </c>
      <c r="H14" s="540"/>
      <c r="I14" s="541"/>
      <c r="J14" s="233"/>
      <c r="K14" s="525" t="s">
        <v>31</v>
      </c>
      <c r="L14" s="538"/>
      <c r="M14" s="526"/>
    </row>
    <row r="15" spans="1:16" ht="55.5" customHeight="1" x14ac:dyDescent="0.25">
      <c r="A15" s="383" t="s">
        <v>27</v>
      </c>
      <c r="B15" s="244" t="s">
        <v>28</v>
      </c>
      <c r="C15" s="239" t="s">
        <v>32</v>
      </c>
      <c r="D15" s="239" t="s">
        <v>33</v>
      </c>
      <c r="E15" s="240" t="s">
        <v>34</v>
      </c>
      <c r="F15" s="240" t="s">
        <v>37</v>
      </c>
      <c r="G15" s="242" t="s">
        <v>52</v>
      </c>
      <c r="H15" s="242" t="s">
        <v>53</v>
      </c>
      <c r="I15" s="242" t="s">
        <v>54</v>
      </c>
      <c r="J15" s="241" t="s">
        <v>40</v>
      </c>
      <c r="K15" s="240" t="s">
        <v>55</v>
      </c>
      <c r="L15" s="241" t="s">
        <v>53</v>
      </c>
      <c r="M15" s="383" t="s">
        <v>56</v>
      </c>
    </row>
    <row r="16" spans="1:16" ht="8.1" customHeight="1" x14ac:dyDescent="0.25">
      <c r="A16" s="525"/>
      <c r="B16" s="538"/>
      <c r="C16" s="538"/>
      <c r="D16" s="538"/>
      <c r="E16" s="538"/>
      <c r="F16" s="538"/>
      <c r="G16" s="538"/>
      <c r="H16" s="538"/>
      <c r="I16" s="538"/>
      <c r="J16" s="538"/>
      <c r="K16" s="538"/>
      <c r="L16" s="538"/>
      <c r="M16" s="526"/>
    </row>
    <row r="17" spans="1:16" s="411" customFormat="1" ht="18" x14ac:dyDescent="0.25">
      <c r="A17" s="402" t="s">
        <v>547</v>
      </c>
      <c r="B17" s="504" t="s">
        <v>57</v>
      </c>
      <c r="C17" s="505"/>
      <c r="D17" s="505"/>
      <c r="E17" s="506"/>
      <c r="F17" s="403">
        <f>SUM(F19:F22)</f>
        <v>12655.240407999998</v>
      </c>
      <c r="G17" s="404"/>
      <c r="H17" s="454"/>
      <c r="I17" s="405"/>
      <c r="J17" s="406"/>
      <c r="K17" s="407">
        <f>SUM(K19:K22)</f>
        <v>10730.522008</v>
      </c>
      <c r="L17" s="408"/>
      <c r="M17" s="498">
        <f>SUM(M19:M22)</f>
        <v>10730.522008</v>
      </c>
      <c r="N17" s="410"/>
    </row>
    <row r="18" spans="1:16" s="411" customFormat="1" ht="8.1" customHeight="1" x14ac:dyDescent="0.25">
      <c r="A18" s="516"/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8"/>
      <c r="N18" s="410"/>
    </row>
    <row r="19" spans="1:16" s="245" customFormat="1" ht="38.25" x14ac:dyDescent="0.25">
      <c r="A19" s="372" t="s">
        <v>58</v>
      </c>
      <c r="B19" s="264" t="s">
        <v>548</v>
      </c>
      <c r="C19" s="259" t="s">
        <v>189</v>
      </c>
      <c r="D19" s="371">
        <v>134</v>
      </c>
      <c r="E19" s="384">
        <v>34.572600000000001</v>
      </c>
      <c r="F19" s="235">
        <f>E19*D19</f>
        <v>4632.7284</v>
      </c>
      <c r="G19" s="269">
        <v>134</v>
      </c>
      <c r="H19" s="455"/>
      <c r="I19" s="268">
        <v>134</v>
      </c>
      <c r="J19" s="235"/>
      <c r="K19" s="271">
        <v>4632.6499999999996</v>
      </c>
      <c r="L19" s="393"/>
      <c r="M19" s="491">
        <f>K19</f>
        <v>4632.6499999999996</v>
      </c>
      <c r="N19" s="252"/>
    </row>
    <row r="20" spans="1:16" s="245" customFormat="1" ht="25.5" x14ac:dyDescent="0.25">
      <c r="A20" s="372" t="s">
        <v>62</v>
      </c>
      <c r="B20" s="229" t="s">
        <v>549</v>
      </c>
      <c r="C20" s="259" t="s">
        <v>152</v>
      </c>
      <c r="D20" s="371">
        <v>1</v>
      </c>
      <c r="E20" s="384">
        <v>1758.7</v>
      </c>
      <c r="F20" s="235">
        <f>E20*D20</f>
        <v>1758.7</v>
      </c>
      <c r="G20" s="247"/>
      <c r="H20" s="455"/>
      <c r="I20" s="235"/>
      <c r="J20" s="235"/>
      <c r="K20" s="234"/>
      <c r="L20" s="394"/>
      <c r="M20" s="499"/>
      <c r="N20" s="252"/>
    </row>
    <row r="21" spans="1:16" s="245" customFormat="1" x14ac:dyDescent="0.25">
      <c r="A21" s="372" t="s">
        <v>65</v>
      </c>
      <c r="B21" s="373" t="s">
        <v>550</v>
      </c>
      <c r="C21" s="259" t="s">
        <v>60</v>
      </c>
      <c r="D21" s="371">
        <v>10</v>
      </c>
      <c r="E21" s="384">
        <v>351.38099999999997</v>
      </c>
      <c r="F21" s="235">
        <f>E21*D21</f>
        <v>3513.8099999999995</v>
      </c>
      <c r="G21" s="269">
        <v>10</v>
      </c>
      <c r="H21" s="455"/>
      <c r="I21" s="268">
        <v>10</v>
      </c>
      <c r="J21" s="235"/>
      <c r="K21" s="234">
        <v>3347.87</v>
      </c>
      <c r="L21" s="395"/>
      <c r="M21" s="488">
        <f>3347.87</f>
        <v>3347.87</v>
      </c>
      <c r="N21" s="252"/>
    </row>
    <row r="22" spans="1:16" s="245" customFormat="1" ht="25.5" x14ac:dyDescent="0.25">
      <c r="A22" s="372" t="s">
        <v>68</v>
      </c>
      <c r="B22" s="258" t="s">
        <v>551</v>
      </c>
      <c r="C22" s="259" t="s">
        <v>60</v>
      </c>
      <c r="D22" s="260">
        <v>1200</v>
      </c>
      <c r="E22" s="385">
        <f>2.21*1.3126*0.79</f>
        <v>2.2916683400000002</v>
      </c>
      <c r="F22" s="235">
        <f>D22*E22</f>
        <v>2750.0020080000004</v>
      </c>
      <c r="G22" s="269">
        <v>1200</v>
      </c>
      <c r="H22" s="269"/>
      <c r="I22" s="268">
        <v>1200</v>
      </c>
      <c r="J22" s="235"/>
      <c r="K22" s="271">
        <f>E22*G22</f>
        <v>2750.0020080000004</v>
      </c>
      <c r="L22" s="392"/>
      <c r="M22" s="491">
        <f>K22+L22</f>
        <v>2750.0020080000004</v>
      </c>
      <c r="N22" s="252"/>
    </row>
    <row r="23" spans="1:16" s="245" customFormat="1" ht="8.1" customHeight="1" x14ac:dyDescent="0.25">
      <c r="A23" s="527"/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  <c r="M23" s="527"/>
      <c r="N23" s="252"/>
      <c r="O23" s="260"/>
    </row>
    <row r="24" spans="1:16" s="414" customFormat="1" ht="18" x14ac:dyDescent="0.25">
      <c r="A24" s="402" t="s">
        <v>552</v>
      </c>
      <c r="B24" s="504" t="s">
        <v>78</v>
      </c>
      <c r="C24" s="505"/>
      <c r="D24" s="505"/>
      <c r="E24" s="506"/>
      <c r="F24" s="403">
        <f>SUM(F26:F27)</f>
        <v>21241.503113799998</v>
      </c>
      <c r="G24" s="404"/>
      <c r="H24" s="454"/>
      <c r="I24" s="405"/>
      <c r="J24" s="406"/>
      <c r="K24" s="412">
        <f>SUM(K26:K27)</f>
        <v>18428.159780599999</v>
      </c>
      <c r="L24" s="413"/>
      <c r="M24" s="498">
        <f>SUM(M26:M27)</f>
        <v>18428.159780599999</v>
      </c>
      <c r="N24" s="410"/>
    </row>
    <row r="25" spans="1:16" s="414" customFormat="1" ht="8.1" customHeight="1" x14ac:dyDescent="0.25">
      <c r="A25" s="516"/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8"/>
      <c r="N25" s="410"/>
    </row>
    <row r="26" spans="1:16" s="245" customFormat="1" ht="25.5" x14ac:dyDescent="0.25">
      <c r="A26" s="259" t="s">
        <v>79</v>
      </c>
      <c r="B26" s="264" t="s">
        <v>553</v>
      </c>
      <c r="C26" s="259" t="s">
        <v>81</v>
      </c>
      <c r="D26" s="371">
        <v>81.209999999999994</v>
      </c>
      <c r="E26" s="384">
        <v>52.514699999999998</v>
      </c>
      <c r="F26" s="235">
        <f>E26*D26</f>
        <v>4264.7187869999998</v>
      </c>
      <c r="G26" s="269">
        <f>24.99+21.79</f>
        <v>46.78</v>
      </c>
      <c r="H26" s="269"/>
      <c r="I26" s="268">
        <v>46.78</v>
      </c>
      <c r="J26" s="235"/>
      <c r="K26" s="271">
        <f>E26*G26</f>
        <v>2456.6376660000001</v>
      </c>
      <c r="L26" s="392"/>
      <c r="M26" s="491">
        <f>E26*I26</f>
        <v>2456.6376660000001</v>
      </c>
      <c r="N26" s="252"/>
      <c r="O26" s="260"/>
    </row>
    <row r="27" spans="1:16" s="245" customFormat="1" ht="25.5" x14ac:dyDescent="0.25">
      <c r="A27" s="374" t="s">
        <v>83</v>
      </c>
      <c r="B27" s="264" t="s">
        <v>554</v>
      </c>
      <c r="C27" s="259" t="s">
        <v>81</v>
      </c>
      <c r="D27" s="371">
        <v>501.74</v>
      </c>
      <c r="E27" s="384">
        <v>33.835819999999998</v>
      </c>
      <c r="F27" s="235">
        <f>D27*E27</f>
        <v>16976.7843268</v>
      </c>
      <c r="G27" s="269">
        <v>472.03</v>
      </c>
      <c r="H27" s="247"/>
      <c r="I27" s="268">
        <f>120.18+312.74+39.11</f>
        <v>472.03000000000003</v>
      </c>
      <c r="J27" s="235"/>
      <c r="K27" s="271">
        <f>E27*G27</f>
        <v>15971.522114599999</v>
      </c>
      <c r="L27" s="392"/>
      <c r="M27" s="491">
        <f>E27*I27</f>
        <v>15971.5221146</v>
      </c>
      <c r="N27" s="252"/>
      <c r="O27" s="283"/>
      <c r="P27" s="257"/>
    </row>
    <row r="28" spans="1:16" s="245" customFormat="1" ht="8.1" customHeight="1" x14ac:dyDescent="0.25">
      <c r="A28" s="510"/>
      <c r="B28" s="510"/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252"/>
    </row>
    <row r="29" spans="1:16" s="411" customFormat="1" ht="18" x14ac:dyDescent="0.25">
      <c r="A29" s="402" t="s">
        <v>555</v>
      </c>
      <c r="B29" s="504" t="s">
        <v>556</v>
      </c>
      <c r="C29" s="505"/>
      <c r="D29" s="505"/>
      <c r="E29" s="506"/>
      <c r="F29" s="403">
        <f>SUM(F31,F48,F52)</f>
        <v>154444.67011470001</v>
      </c>
      <c r="G29" s="404"/>
      <c r="H29" s="454"/>
      <c r="I29" s="405"/>
      <c r="J29" s="406"/>
      <c r="K29" s="415">
        <f>K31+K48+K52</f>
        <v>110580.87231810001</v>
      </c>
      <c r="L29" s="413"/>
      <c r="M29" s="425">
        <f>SUM(M31,M48,M52)</f>
        <v>110580.87231810001</v>
      </c>
      <c r="N29" s="410"/>
      <c r="O29" s="416"/>
    </row>
    <row r="30" spans="1:16" s="411" customFormat="1" ht="8.1" customHeight="1" x14ac:dyDescent="0.25">
      <c r="A30" s="516"/>
      <c r="B30" s="517"/>
      <c r="C30" s="517"/>
      <c r="D30" s="517"/>
      <c r="E30" s="517"/>
      <c r="F30" s="517"/>
      <c r="G30" s="517"/>
      <c r="H30" s="517"/>
      <c r="I30" s="517"/>
      <c r="J30" s="517"/>
      <c r="K30" s="517"/>
      <c r="L30" s="517"/>
      <c r="M30" s="518"/>
      <c r="N30" s="410"/>
      <c r="O30" s="416"/>
    </row>
    <row r="31" spans="1:16" s="280" customFormat="1" ht="15.75" x14ac:dyDescent="0.25">
      <c r="A31" s="447" t="s">
        <v>95</v>
      </c>
      <c r="B31" s="519" t="s">
        <v>557</v>
      </c>
      <c r="C31" s="520"/>
      <c r="D31" s="520"/>
      <c r="E31" s="521"/>
      <c r="F31" s="278">
        <f>SUM(F33:F46)-0.01</f>
        <v>63766.269369499998</v>
      </c>
      <c r="G31" s="276"/>
      <c r="H31" s="456"/>
      <c r="I31" s="277"/>
      <c r="J31" s="275"/>
      <c r="K31" s="279">
        <f>SUM(K33:K46)</f>
        <v>35914.792495000002</v>
      </c>
      <c r="L31" s="396"/>
      <c r="M31" s="497">
        <f>SUM(M33:M46)</f>
        <v>35914.792495000002</v>
      </c>
      <c r="N31" s="293"/>
    </row>
    <row r="32" spans="1:16" s="280" customFormat="1" ht="8.1" customHeight="1" x14ac:dyDescent="0.25">
      <c r="A32" s="522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4"/>
      <c r="N32" s="293"/>
    </row>
    <row r="33" spans="1:15" ht="25.5" x14ac:dyDescent="0.25">
      <c r="A33" s="259" t="s">
        <v>97</v>
      </c>
      <c r="B33" s="229" t="s">
        <v>558</v>
      </c>
      <c r="C33" s="259" t="s">
        <v>81</v>
      </c>
      <c r="D33" s="371">
        <v>67.27</v>
      </c>
      <c r="E33" s="384">
        <v>63.211100000000002</v>
      </c>
      <c r="F33" s="235">
        <f t="shared" ref="F33:F58" si="0">E33*D33</f>
        <v>4252.2106969999995</v>
      </c>
      <c r="G33" s="269">
        <v>26.04</v>
      </c>
      <c r="H33" s="457"/>
      <c r="I33" s="268">
        <v>26.04</v>
      </c>
      <c r="J33" s="235"/>
      <c r="K33" s="234">
        <f>60.03*26.04</f>
        <v>1563.1812</v>
      </c>
      <c r="L33" s="256"/>
      <c r="M33" s="491">
        <f>SUM(K33:L33)</f>
        <v>1563.1812</v>
      </c>
      <c r="N33" s="252"/>
      <c r="O33" s="253"/>
    </row>
    <row r="34" spans="1:15" s="245" customFormat="1" ht="25.5" x14ac:dyDescent="0.25">
      <c r="A34" s="259" t="s">
        <v>100</v>
      </c>
      <c r="B34" s="229" t="s">
        <v>559</v>
      </c>
      <c r="C34" s="259" t="s">
        <v>60</v>
      </c>
      <c r="D34" s="371">
        <v>43.4</v>
      </c>
      <c r="E34" s="384">
        <v>1.5802</v>
      </c>
      <c r="F34" s="235">
        <f t="shared" si="0"/>
        <v>68.580680000000001</v>
      </c>
      <c r="G34" s="269">
        <v>43.4</v>
      </c>
      <c r="H34" s="457"/>
      <c r="I34" s="268">
        <v>43.4</v>
      </c>
      <c r="J34" s="235"/>
      <c r="K34" s="234">
        <v>54.12</v>
      </c>
      <c r="L34" s="256"/>
      <c r="M34" s="491">
        <f t="shared" ref="M34:M46" si="1">SUM(K34:L34)</f>
        <v>54.12</v>
      </c>
      <c r="N34" s="252"/>
      <c r="O34" s="473"/>
    </row>
    <row r="35" spans="1:15" s="245" customFormat="1" ht="25.5" x14ac:dyDescent="0.25">
      <c r="A35" s="259" t="s">
        <v>103</v>
      </c>
      <c r="B35" s="229" t="s">
        <v>560</v>
      </c>
      <c r="C35" s="259" t="s">
        <v>81</v>
      </c>
      <c r="D35" s="371">
        <v>2.17</v>
      </c>
      <c r="E35" s="384">
        <v>497.23050000000001</v>
      </c>
      <c r="F35" s="235">
        <f t="shared" si="0"/>
        <v>1078.9901849999999</v>
      </c>
      <c r="G35" s="269">
        <v>2.17</v>
      </c>
      <c r="H35" s="457"/>
      <c r="I35" s="268">
        <v>2.17</v>
      </c>
      <c r="J35" s="235"/>
      <c r="K35" s="234">
        <f>E35*G35</f>
        <v>1078.9901849999999</v>
      </c>
      <c r="L35" s="256"/>
      <c r="M35" s="491">
        <f t="shared" si="1"/>
        <v>1078.9901849999999</v>
      </c>
      <c r="N35" s="252"/>
    </row>
    <row r="36" spans="1:15" s="245" customFormat="1" ht="38.25" x14ac:dyDescent="0.25">
      <c r="A36" s="259" t="s">
        <v>561</v>
      </c>
      <c r="B36" s="229" t="s">
        <v>562</v>
      </c>
      <c r="C36" s="259" t="s">
        <v>60</v>
      </c>
      <c r="D36" s="371">
        <v>167.25</v>
      </c>
      <c r="E36" s="384">
        <v>113.52204999999999</v>
      </c>
      <c r="F36" s="235">
        <f t="shared" si="0"/>
        <v>18986.562862499999</v>
      </c>
      <c r="G36" s="269">
        <v>128.49</v>
      </c>
      <c r="H36" s="269"/>
      <c r="I36" s="268">
        <v>128.49</v>
      </c>
      <c r="J36" s="235"/>
      <c r="K36" s="234">
        <f>62.85*89.99+63.56*113.52+236.13</f>
        <v>13107.332699999999</v>
      </c>
      <c r="L36" s="272"/>
      <c r="M36" s="491">
        <f>SUM(K36:L36)</f>
        <v>13107.332699999999</v>
      </c>
      <c r="N36" s="252"/>
      <c r="O36" s="474"/>
    </row>
    <row r="37" spans="1:15" s="245" customFormat="1" ht="25.5" x14ac:dyDescent="0.25">
      <c r="A37" s="259" t="s">
        <v>563</v>
      </c>
      <c r="B37" s="229" t="s">
        <v>564</v>
      </c>
      <c r="C37" s="259" t="s">
        <v>565</v>
      </c>
      <c r="D37" s="371">
        <v>127.6</v>
      </c>
      <c r="E37" s="384">
        <v>20.500599999999999</v>
      </c>
      <c r="F37" s="235">
        <f t="shared" si="0"/>
        <v>2615.8765599999997</v>
      </c>
      <c r="G37" s="269">
        <v>127.6</v>
      </c>
      <c r="H37" s="457"/>
      <c r="I37" s="268">
        <v>127.6</v>
      </c>
      <c r="J37" s="235"/>
      <c r="K37" s="234">
        <v>1415.59</v>
      </c>
      <c r="L37" s="256"/>
      <c r="M37" s="491">
        <f t="shared" si="1"/>
        <v>1415.59</v>
      </c>
      <c r="N37" s="252"/>
    </row>
    <row r="38" spans="1:15" s="245" customFormat="1" ht="25.5" x14ac:dyDescent="0.25">
      <c r="A38" s="259" t="s">
        <v>566</v>
      </c>
      <c r="B38" s="229" t="s">
        <v>567</v>
      </c>
      <c r="C38" s="259" t="s">
        <v>565</v>
      </c>
      <c r="D38" s="371">
        <v>285.8</v>
      </c>
      <c r="E38" s="384">
        <v>20.092130000000001</v>
      </c>
      <c r="F38" s="235">
        <f t="shared" si="0"/>
        <v>5742.3307540000005</v>
      </c>
      <c r="G38" s="269">
        <v>285.8</v>
      </c>
      <c r="H38" s="457"/>
      <c r="I38" s="268">
        <v>285.8</v>
      </c>
      <c r="J38" s="235"/>
      <c r="K38" s="234">
        <v>2780.48</v>
      </c>
      <c r="L38" s="256"/>
      <c r="M38" s="491">
        <f t="shared" si="1"/>
        <v>2780.48</v>
      </c>
      <c r="N38" s="252"/>
      <c r="O38" s="473"/>
    </row>
    <row r="39" spans="1:15" s="245" customFormat="1" ht="25.5" x14ac:dyDescent="0.25">
      <c r="A39" s="259" t="s">
        <v>568</v>
      </c>
      <c r="B39" s="229" t="s">
        <v>569</v>
      </c>
      <c r="C39" s="259" t="s">
        <v>565</v>
      </c>
      <c r="D39" s="371">
        <v>149.30000000000001</v>
      </c>
      <c r="E39" s="384">
        <v>19.393350000000002</v>
      </c>
      <c r="F39" s="235">
        <f t="shared" si="0"/>
        <v>2895.4271550000003</v>
      </c>
      <c r="G39" s="269">
        <v>149.30000000000001</v>
      </c>
      <c r="H39" s="457"/>
      <c r="I39" s="268">
        <v>149.30000000000001</v>
      </c>
      <c r="J39" s="235"/>
      <c r="K39" s="234">
        <v>1415.59</v>
      </c>
      <c r="L39" s="256"/>
      <c r="M39" s="491">
        <f t="shared" si="1"/>
        <v>1415.59</v>
      </c>
      <c r="N39" s="252"/>
    </row>
    <row r="40" spans="1:15" s="245" customFormat="1" ht="25.5" x14ac:dyDescent="0.25">
      <c r="A40" s="259" t="s">
        <v>570</v>
      </c>
      <c r="B40" s="229" t="s">
        <v>571</v>
      </c>
      <c r="C40" s="259" t="s">
        <v>565</v>
      </c>
      <c r="D40" s="371">
        <v>396.5</v>
      </c>
      <c r="E40" s="384">
        <v>17.608830000000001</v>
      </c>
      <c r="F40" s="235">
        <f t="shared" si="0"/>
        <v>6981.9010950000002</v>
      </c>
      <c r="G40" s="269">
        <v>396.5</v>
      </c>
      <c r="H40" s="457"/>
      <c r="I40" s="268">
        <v>396.5</v>
      </c>
      <c r="J40" s="235"/>
      <c r="K40" s="234">
        <v>3081.7</v>
      </c>
      <c r="L40" s="256"/>
      <c r="M40" s="491">
        <f t="shared" si="1"/>
        <v>3081.7</v>
      </c>
      <c r="N40" s="252"/>
    </row>
    <row r="41" spans="1:15" s="245" customFormat="1" ht="25.5" x14ac:dyDescent="0.25">
      <c r="A41" s="259" t="s">
        <v>572</v>
      </c>
      <c r="B41" s="229" t="s">
        <v>573</v>
      </c>
      <c r="C41" s="259" t="s">
        <v>565</v>
      </c>
      <c r="D41" s="371">
        <v>187.4</v>
      </c>
      <c r="E41" s="384">
        <v>15.03955</v>
      </c>
      <c r="F41" s="235">
        <f t="shared" si="0"/>
        <v>2818.41167</v>
      </c>
      <c r="G41" s="269">
        <v>187.4</v>
      </c>
      <c r="H41" s="457"/>
      <c r="I41" s="268">
        <v>187.4</v>
      </c>
      <c r="J41" s="235"/>
      <c r="K41" s="234">
        <v>1307.44</v>
      </c>
      <c r="L41" s="256"/>
      <c r="M41" s="491">
        <f t="shared" si="1"/>
        <v>1307.44</v>
      </c>
      <c r="N41" s="252"/>
    </row>
    <row r="42" spans="1:15" s="245" customFormat="1" ht="25.5" x14ac:dyDescent="0.25">
      <c r="A42" s="259" t="s">
        <v>574</v>
      </c>
      <c r="B42" s="229" t="s">
        <v>575</v>
      </c>
      <c r="C42" s="259" t="s">
        <v>565</v>
      </c>
      <c r="D42" s="371">
        <v>298.3</v>
      </c>
      <c r="E42" s="384">
        <v>14.502000000000001</v>
      </c>
      <c r="F42" s="235">
        <f t="shared" si="0"/>
        <v>4325.9466000000002</v>
      </c>
      <c r="G42" s="269">
        <v>298.3</v>
      </c>
      <c r="H42" s="457"/>
      <c r="I42" s="268">
        <v>298.3</v>
      </c>
      <c r="J42" s="235"/>
      <c r="K42" s="234">
        <v>1943.28</v>
      </c>
      <c r="L42" s="256"/>
      <c r="M42" s="491">
        <f t="shared" si="1"/>
        <v>1943.28</v>
      </c>
      <c r="N42" s="252"/>
    </row>
    <row r="43" spans="1:15" s="245" customFormat="1" ht="25.5" x14ac:dyDescent="0.25">
      <c r="A43" s="259" t="s">
        <v>576</v>
      </c>
      <c r="B43" s="229" t="s">
        <v>577</v>
      </c>
      <c r="C43" s="259" t="s">
        <v>565</v>
      </c>
      <c r="D43" s="371">
        <v>170.9</v>
      </c>
      <c r="E43" s="384">
        <v>16.458549999999999</v>
      </c>
      <c r="F43" s="235">
        <f t="shared" si="0"/>
        <v>2812.7661949999997</v>
      </c>
      <c r="G43" s="269">
        <v>170.9</v>
      </c>
      <c r="H43" s="457"/>
      <c r="I43" s="268">
        <v>170.9</v>
      </c>
      <c r="J43" s="235"/>
      <c r="K43" s="234">
        <v>1028.82</v>
      </c>
      <c r="L43" s="256"/>
      <c r="M43" s="491">
        <f t="shared" si="1"/>
        <v>1028.82</v>
      </c>
      <c r="N43" s="252"/>
    </row>
    <row r="44" spans="1:15" s="245" customFormat="1" ht="25.5" x14ac:dyDescent="0.25">
      <c r="A44" s="259" t="s">
        <v>578</v>
      </c>
      <c r="B44" s="229" t="s">
        <v>579</v>
      </c>
      <c r="C44" s="259" t="s">
        <v>81</v>
      </c>
      <c r="D44" s="371">
        <v>17.05</v>
      </c>
      <c r="E44" s="384">
        <v>396.33850000000001</v>
      </c>
      <c r="F44" s="235">
        <f t="shared" si="0"/>
        <v>6757.5714250000001</v>
      </c>
      <c r="G44" s="269">
        <f>13.51+0.13</f>
        <v>13.64</v>
      </c>
      <c r="H44" s="458"/>
      <c r="I44" s="268">
        <f>G44+H44</f>
        <v>13.64</v>
      </c>
      <c r="J44" s="235"/>
      <c r="K44" s="234">
        <f>10.59*327.95+2.92*396.34+51.52</f>
        <v>4681.8233</v>
      </c>
      <c r="L44" s="272"/>
      <c r="M44" s="491">
        <f t="shared" si="1"/>
        <v>4681.8233</v>
      </c>
      <c r="N44" s="446"/>
      <c r="O44" s="295"/>
    </row>
    <row r="45" spans="1:15" s="245" customFormat="1" ht="25.5" x14ac:dyDescent="0.25">
      <c r="A45" s="259" t="s">
        <v>580</v>
      </c>
      <c r="B45" s="229" t="s">
        <v>581</v>
      </c>
      <c r="C45" s="259" t="s">
        <v>81</v>
      </c>
      <c r="D45" s="371">
        <v>17.05</v>
      </c>
      <c r="E45" s="384">
        <v>153.95349999999999</v>
      </c>
      <c r="F45" s="235">
        <f t="shared" si="0"/>
        <v>2624.9071749999998</v>
      </c>
      <c r="G45" s="269">
        <f>13.51+0.13</f>
        <v>13.64</v>
      </c>
      <c r="H45" s="458"/>
      <c r="I45" s="268">
        <f>G45+H45</f>
        <v>13.64</v>
      </c>
      <c r="J45" s="235"/>
      <c r="K45" s="234">
        <f>10.59*135.19+2.92*153.95+20.01</f>
        <v>1901.2060999999999</v>
      </c>
      <c r="L45" s="272"/>
      <c r="M45" s="491">
        <f>SUM(K45:L45)</f>
        <v>1901.2060999999999</v>
      </c>
      <c r="N45" s="446"/>
      <c r="O45" s="296"/>
    </row>
    <row r="46" spans="1:15" s="245" customFormat="1" x14ac:dyDescent="0.25">
      <c r="A46" s="259" t="s">
        <v>582</v>
      </c>
      <c r="B46" s="229" t="s">
        <v>583</v>
      </c>
      <c r="C46" s="259" t="s">
        <v>81</v>
      </c>
      <c r="D46" s="371">
        <v>50.22</v>
      </c>
      <c r="E46" s="384">
        <v>35.937800000000003</v>
      </c>
      <c r="F46" s="235">
        <f t="shared" si="0"/>
        <v>1804.7963160000002</v>
      </c>
      <c r="G46" s="269">
        <v>15.45</v>
      </c>
      <c r="H46" s="269"/>
      <c r="I46" s="268">
        <v>15.45</v>
      </c>
      <c r="J46" s="235"/>
      <c r="K46" s="234">
        <f>E46*G46</f>
        <v>555.23901000000001</v>
      </c>
      <c r="L46" s="234"/>
      <c r="M46" s="491">
        <f t="shared" si="1"/>
        <v>555.23901000000001</v>
      </c>
      <c r="N46" s="252"/>
    </row>
    <row r="47" spans="1:15" s="245" customFormat="1" ht="8.1" customHeight="1" x14ac:dyDescent="0.25">
      <c r="A47" s="511"/>
      <c r="B47" s="510"/>
      <c r="C47" s="510"/>
      <c r="D47" s="510"/>
      <c r="E47" s="510"/>
      <c r="F47" s="510"/>
      <c r="G47" s="510"/>
      <c r="H47" s="510"/>
      <c r="I47" s="510"/>
      <c r="J47" s="510"/>
      <c r="K47" s="510"/>
      <c r="L47" s="510"/>
      <c r="M47" s="512"/>
      <c r="N47" s="252"/>
    </row>
    <row r="48" spans="1:15" s="311" customFormat="1" ht="18" x14ac:dyDescent="0.25">
      <c r="A48" s="366" t="s">
        <v>106</v>
      </c>
      <c r="B48" s="507" t="s">
        <v>584</v>
      </c>
      <c r="C48" s="508"/>
      <c r="D48" s="508"/>
      <c r="E48" s="509"/>
      <c r="F48" s="300">
        <f>F50</f>
        <v>56360.321394000006</v>
      </c>
      <c r="G48" s="309"/>
      <c r="H48" s="459"/>
      <c r="I48" s="310"/>
      <c r="J48" s="300"/>
      <c r="K48" s="305">
        <f>K50</f>
        <v>49996.586029000006</v>
      </c>
      <c r="L48" s="397"/>
      <c r="M48" s="496">
        <f>M50</f>
        <v>49996.586029000006</v>
      </c>
      <c r="N48" s="281"/>
    </row>
    <row r="49" spans="1:16" s="311" customFormat="1" ht="8.1" customHeight="1" x14ac:dyDescent="0.25">
      <c r="A49" s="513"/>
      <c r="B49" s="514"/>
      <c r="C49" s="514"/>
      <c r="D49" s="514"/>
      <c r="E49" s="514"/>
      <c r="F49" s="514"/>
      <c r="G49" s="514"/>
      <c r="H49" s="514"/>
      <c r="I49" s="514"/>
      <c r="J49" s="514"/>
      <c r="K49" s="514"/>
      <c r="L49" s="514"/>
      <c r="M49" s="515"/>
      <c r="N49" s="281"/>
    </row>
    <row r="50" spans="1:16" s="245" customFormat="1" ht="25.5" x14ac:dyDescent="0.25">
      <c r="A50" s="259" t="s">
        <v>108</v>
      </c>
      <c r="B50" s="264" t="s">
        <v>585</v>
      </c>
      <c r="C50" s="259" t="s">
        <v>81</v>
      </c>
      <c r="D50" s="371">
        <v>153.66</v>
      </c>
      <c r="E50" s="384">
        <v>366.78590000000003</v>
      </c>
      <c r="F50" s="235">
        <f t="shared" si="0"/>
        <v>56360.321394000006</v>
      </c>
      <c r="G50" s="269">
        <v>136.31</v>
      </c>
      <c r="H50" s="458"/>
      <c r="I50" s="270">
        <f>G50+H50</f>
        <v>136.31</v>
      </c>
      <c r="J50" s="235"/>
      <c r="K50" s="234">
        <f>E50*G50</f>
        <v>49996.586029000006</v>
      </c>
      <c r="L50" s="389"/>
      <c r="M50" s="491">
        <f>K50+L50</f>
        <v>49996.586029000006</v>
      </c>
      <c r="N50" s="252"/>
      <c r="O50" s="284"/>
    </row>
    <row r="51" spans="1:16" s="245" customFormat="1" ht="8.1" customHeight="1" x14ac:dyDescent="0.25">
      <c r="A51" s="511"/>
      <c r="B51" s="510"/>
      <c r="C51" s="510"/>
      <c r="D51" s="510"/>
      <c r="E51" s="510"/>
      <c r="F51" s="510"/>
      <c r="G51" s="510"/>
      <c r="H51" s="510"/>
      <c r="I51" s="510"/>
      <c r="J51" s="510"/>
      <c r="K51" s="510"/>
      <c r="L51" s="510"/>
      <c r="M51" s="512"/>
      <c r="N51" s="252"/>
      <c r="O51" s="284"/>
    </row>
    <row r="52" spans="1:16" s="306" customFormat="1" ht="18" x14ac:dyDescent="0.25">
      <c r="A52" s="366" t="s">
        <v>586</v>
      </c>
      <c r="B52" s="507" t="s">
        <v>587</v>
      </c>
      <c r="C52" s="508"/>
      <c r="D52" s="508"/>
      <c r="E52" s="509"/>
      <c r="F52" s="300">
        <f>SUM(F54:F58)</f>
        <v>34318.079351200002</v>
      </c>
      <c r="G52" s="307"/>
      <c r="H52" s="460"/>
      <c r="I52" s="308"/>
      <c r="J52" s="300"/>
      <c r="K52" s="305">
        <f>SUM(K54:K58)</f>
        <v>24669.493794100003</v>
      </c>
      <c r="L52" s="397"/>
      <c r="M52" s="496">
        <f>SUM(M54:M58)</f>
        <v>24669.493794100003</v>
      </c>
      <c r="N52" s="281"/>
    </row>
    <row r="53" spans="1:16" s="306" customFormat="1" ht="8.1" customHeight="1" x14ac:dyDescent="0.25">
      <c r="A53" s="513"/>
      <c r="B53" s="514"/>
      <c r="C53" s="514"/>
      <c r="D53" s="514"/>
      <c r="E53" s="514"/>
      <c r="F53" s="514"/>
      <c r="G53" s="514"/>
      <c r="H53" s="514"/>
      <c r="I53" s="514"/>
      <c r="J53" s="514"/>
      <c r="K53" s="514"/>
      <c r="L53" s="514"/>
      <c r="M53" s="515"/>
      <c r="N53" s="281"/>
    </row>
    <row r="54" spans="1:16" s="245" customFormat="1" ht="38.25" x14ac:dyDescent="0.25">
      <c r="A54" s="259" t="s">
        <v>588</v>
      </c>
      <c r="B54" s="229" t="s">
        <v>589</v>
      </c>
      <c r="C54" s="259" t="s">
        <v>60</v>
      </c>
      <c r="D54" s="371">
        <v>233.62</v>
      </c>
      <c r="E54" s="384">
        <v>65.017150000000001</v>
      </c>
      <c r="F54" s="235">
        <f t="shared" si="0"/>
        <v>15189.306583000001</v>
      </c>
      <c r="G54" s="269">
        <v>150.57</v>
      </c>
      <c r="H54" s="458"/>
      <c r="I54" s="270">
        <f>G54+H54</f>
        <v>150.57</v>
      </c>
      <c r="J54" s="235"/>
      <c r="K54" s="234">
        <f>E54*G54</f>
        <v>9789.6322755000001</v>
      </c>
      <c r="L54" s="398"/>
      <c r="M54" s="494">
        <f>K54+L54</f>
        <v>9789.6322755000001</v>
      </c>
      <c r="N54" s="252"/>
      <c r="O54" s="284"/>
    </row>
    <row r="55" spans="1:16" s="245" customFormat="1" ht="51" x14ac:dyDescent="0.25">
      <c r="A55" s="259" t="s">
        <v>590</v>
      </c>
      <c r="B55" s="229" t="s">
        <v>591</v>
      </c>
      <c r="C55" s="259" t="s">
        <v>565</v>
      </c>
      <c r="D55" s="371">
        <v>280.13</v>
      </c>
      <c r="E55" s="384">
        <v>20.49</v>
      </c>
      <c r="F55" s="235">
        <f>E55*D55-0.03</f>
        <v>5739.8337000000001</v>
      </c>
      <c r="G55" s="269">
        <v>231.22</v>
      </c>
      <c r="H55" s="458"/>
      <c r="I55" s="270">
        <f>G55+H55</f>
        <v>231.22</v>
      </c>
      <c r="J55" s="235"/>
      <c r="K55" s="234">
        <f>E55*G55</f>
        <v>4737.6977999999999</v>
      </c>
      <c r="L55" s="399"/>
      <c r="M55" s="495">
        <f>K55+L55</f>
        <v>4737.6977999999999</v>
      </c>
      <c r="N55" s="252"/>
      <c r="O55" s="284"/>
    </row>
    <row r="56" spans="1:16" s="245" customFormat="1" ht="51" x14ac:dyDescent="0.25">
      <c r="A56" s="259" t="s">
        <v>592</v>
      </c>
      <c r="B56" s="229" t="s">
        <v>593</v>
      </c>
      <c r="C56" s="259" t="s">
        <v>565</v>
      </c>
      <c r="D56" s="371">
        <v>374.79</v>
      </c>
      <c r="E56" s="384">
        <v>18.501080000000002</v>
      </c>
      <c r="F56" s="235">
        <f t="shared" si="0"/>
        <v>6934.0197732000006</v>
      </c>
      <c r="G56" s="269">
        <v>312.92</v>
      </c>
      <c r="H56" s="458"/>
      <c r="I56" s="270">
        <f>G56+H56</f>
        <v>312.92</v>
      </c>
      <c r="J56" s="235"/>
      <c r="K56" s="234">
        <f>E56*G56</f>
        <v>5789.3579536000007</v>
      </c>
      <c r="L56" s="389"/>
      <c r="M56" s="491">
        <f>K56+L56</f>
        <v>5789.3579536000007</v>
      </c>
      <c r="N56" s="252"/>
      <c r="O56" s="284"/>
    </row>
    <row r="57" spans="1:16" s="245" customFormat="1" ht="38.25" x14ac:dyDescent="0.25">
      <c r="A57" s="259" t="s">
        <v>594</v>
      </c>
      <c r="B57" s="229" t="s">
        <v>595</v>
      </c>
      <c r="C57" s="259" t="s">
        <v>81</v>
      </c>
      <c r="D57" s="371">
        <v>11.73</v>
      </c>
      <c r="E57" s="384">
        <v>396.33850000000001</v>
      </c>
      <c r="F57" s="235">
        <f t="shared" si="0"/>
        <v>4649.0506050000004</v>
      </c>
      <c r="G57" s="269">
        <v>7.91</v>
      </c>
      <c r="H57" s="458"/>
      <c r="I57" s="270">
        <f>G57+H57</f>
        <v>7.91</v>
      </c>
      <c r="J57" s="235"/>
      <c r="K57" s="234">
        <f>E57*G57</f>
        <v>3135.0375349999999</v>
      </c>
      <c r="L57" s="389"/>
      <c r="M57" s="491">
        <f>K57+L57</f>
        <v>3135.0375349999999</v>
      </c>
      <c r="N57" s="252"/>
      <c r="O57" s="284"/>
    </row>
    <row r="58" spans="1:16" s="245" customFormat="1" ht="25.5" x14ac:dyDescent="0.25">
      <c r="A58" s="259" t="s">
        <v>596</v>
      </c>
      <c r="B58" s="264" t="s">
        <v>597</v>
      </c>
      <c r="C58" s="259" t="s">
        <v>81</v>
      </c>
      <c r="D58" s="371">
        <v>11.73</v>
      </c>
      <c r="E58" s="384">
        <v>153.953</v>
      </c>
      <c r="F58" s="235">
        <f t="shared" si="0"/>
        <v>1805.86869</v>
      </c>
      <c r="G58" s="269">
        <v>7.91</v>
      </c>
      <c r="H58" s="458"/>
      <c r="I58" s="270">
        <f>G58+H58</f>
        <v>7.91</v>
      </c>
      <c r="J58" s="235"/>
      <c r="K58" s="234">
        <f>E58*G58</f>
        <v>1217.7682300000001</v>
      </c>
      <c r="L58" s="398"/>
      <c r="M58" s="494">
        <f>K58+L58</f>
        <v>1217.7682300000001</v>
      </c>
      <c r="N58" s="252"/>
      <c r="O58" s="284"/>
    </row>
    <row r="59" spans="1:16" s="245" customFormat="1" ht="8.1" customHeight="1" x14ac:dyDescent="0.25">
      <c r="A59" s="510"/>
      <c r="B59" s="510"/>
      <c r="C59" s="510"/>
      <c r="D59" s="510"/>
      <c r="E59" s="510"/>
      <c r="F59" s="510"/>
      <c r="G59" s="510"/>
      <c r="H59" s="510"/>
      <c r="I59" s="510"/>
      <c r="J59" s="510"/>
      <c r="K59" s="510"/>
      <c r="L59" s="510"/>
      <c r="M59" s="510"/>
      <c r="N59" s="252"/>
    </row>
    <row r="60" spans="1:16" s="414" customFormat="1" ht="18" x14ac:dyDescent="0.25">
      <c r="A60" s="402" t="s">
        <v>598</v>
      </c>
      <c r="B60" s="504" t="s">
        <v>113</v>
      </c>
      <c r="C60" s="505"/>
      <c r="D60" s="505"/>
      <c r="E60" s="506"/>
      <c r="F60" s="403">
        <f>SUM(F62,F73,F86,F98)</f>
        <v>165501.89367999998</v>
      </c>
      <c r="G60" s="404"/>
      <c r="H60" s="454"/>
      <c r="I60" s="405"/>
      <c r="J60" s="406"/>
      <c r="K60" s="417">
        <f>K62+K73+K86+K98</f>
        <v>156242.0785531</v>
      </c>
      <c r="L60" s="417">
        <f>L62+L73+L86+L98</f>
        <v>-91.383840000000006</v>
      </c>
      <c r="M60" s="500">
        <f>M62+M73+M86+M98</f>
        <v>156150.69471310001</v>
      </c>
      <c r="N60" s="418"/>
      <c r="O60" s="419"/>
    </row>
    <row r="61" spans="1:16" s="414" customFormat="1" ht="8.1" customHeight="1" x14ac:dyDescent="0.25">
      <c r="A61" s="516"/>
      <c r="B61" s="517"/>
      <c r="C61" s="517"/>
      <c r="D61" s="517"/>
      <c r="E61" s="517"/>
      <c r="F61" s="517"/>
      <c r="G61" s="517"/>
      <c r="H61" s="517"/>
      <c r="I61" s="517"/>
      <c r="J61" s="517"/>
      <c r="K61" s="517"/>
      <c r="L61" s="517"/>
      <c r="M61" s="518"/>
      <c r="N61" s="418"/>
      <c r="O61" s="419"/>
    </row>
    <row r="62" spans="1:16" s="311" customFormat="1" ht="19.5" customHeight="1" x14ac:dyDescent="0.25">
      <c r="A62" s="366" t="s">
        <v>114</v>
      </c>
      <c r="B62" s="507" t="s">
        <v>599</v>
      </c>
      <c r="C62" s="508"/>
      <c r="D62" s="508"/>
      <c r="E62" s="509"/>
      <c r="F62" s="300">
        <f>SUM(F64:F71)</f>
        <v>46332.858988</v>
      </c>
      <c r="G62" s="309"/>
      <c r="H62" s="459"/>
      <c r="I62" s="310"/>
      <c r="J62" s="300"/>
      <c r="K62" s="305">
        <f>SUM(K64:K71)</f>
        <v>43596.864731599999</v>
      </c>
      <c r="L62" s="305">
        <f>SUM(L64:L71)</f>
        <v>-91.383840000000006</v>
      </c>
      <c r="M62" s="489">
        <f>SUM(M64:M71)</f>
        <v>43505.480891600004</v>
      </c>
      <c r="N62" s="282"/>
      <c r="O62" s="363"/>
    </row>
    <row r="63" spans="1:16" s="311" customFormat="1" ht="8.1" customHeight="1" x14ac:dyDescent="0.25">
      <c r="A63" s="513"/>
      <c r="B63" s="514"/>
      <c r="C63" s="514"/>
      <c r="D63" s="514"/>
      <c r="E63" s="514"/>
      <c r="F63" s="514"/>
      <c r="G63" s="514"/>
      <c r="H63" s="514"/>
      <c r="I63" s="514"/>
      <c r="J63" s="514"/>
      <c r="K63" s="514"/>
      <c r="L63" s="514"/>
      <c r="M63" s="515"/>
      <c r="N63" s="282"/>
      <c r="O63" s="363"/>
    </row>
    <row r="64" spans="1:16" ht="63.75" x14ac:dyDescent="0.25">
      <c r="A64" s="259" t="s">
        <v>116</v>
      </c>
      <c r="B64" s="264" t="s">
        <v>600</v>
      </c>
      <c r="C64" s="259" t="s">
        <v>60</v>
      </c>
      <c r="D64" s="371">
        <v>257.8</v>
      </c>
      <c r="E64" s="384">
        <v>35.034880000000001</v>
      </c>
      <c r="F64" s="235">
        <f t="shared" ref="F64:F103" si="2">E64*D64</f>
        <v>9031.992064</v>
      </c>
      <c r="G64" s="267">
        <v>246.67</v>
      </c>
      <c r="H64" s="458"/>
      <c r="I64" s="267">
        <f>205.8+40.87</f>
        <v>246.67000000000002</v>
      </c>
      <c r="J64" s="235"/>
      <c r="K64" s="234">
        <f>E64*G64</f>
        <v>8642.053849599999</v>
      </c>
      <c r="L64" s="234"/>
      <c r="M64" s="488">
        <f>E64*I64</f>
        <v>8642.0538496000008</v>
      </c>
      <c r="N64" s="252"/>
      <c r="O64" s="362"/>
      <c r="P64" s="228" t="s">
        <v>909</v>
      </c>
    </row>
    <row r="65" spans="1:15" ht="51" x14ac:dyDescent="0.25">
      <c r="A65" s="259" t="s">
        <v>118</v>
      </c>
      <c r="B65" s="264" t="s">
        <v>601</v>
      </c>
      <c r="C65" s="259" t="s">
        <v>565</v>
      </c>
      <c r="D65" s="371">
        <v>295.43</v>
      </c>
      <c r="E65" s="384">
        <v>20.489850000000001</v>
      </c>
      <c r="F65" s="235">
        <f t="shared" si="2"/>
        <v>6053.3163855000003</v>
      </c>
      <c r="G65" s="267">
        <v>295.43</v>
      </c>
      <c r="H65" s="458"/>
      <c r="I65" s="267">
        <f>257.3+38.13</f>
        <v>295.43</v>
      </c>
      <c r="J65" s="235"/>
      <c r="K65" s="234">
        <f t="shared" ref="K65:K71" si="3">E65*G65</f>
        <v>6053.3163855000003</v>
      </c>
      <c r="L65" s="234"/>
      <c r="M65" s="488">
        <f t="shared" ref="M65:M71" si="4">E65*I65</f>
        <v>6053.3163855000003</v>
      </c>
      <c r="N65" s="252"/>
      <c r="O65" s="362"/>
    </row>
    <row r="66" spans="1:15" s="245" customFormat="1" ht="51" x14ac:dyDescent="0.25">
      <c r="A66" s="259" t="s">
        <v>602</v>
      </c>
      <c r="B66" s="264" t="s">
        <v>603</v>
      </c>
      <c r="C66" s="259" t="s">
        <v>565</v>
      </c>
      <c r="D66" s="371">
        <v>567.63</v>
      </c>
      <c r="E66" s="384">
        <v>17.565799999999999</v>
      </c>
      <c r="F66" s="235">
        <f t="shared" si="2"/>
        <v>9970.8750540000001</v>
      </c>
      <c r="G66" s="267">
        <v>538.72</v>
      </c>
      <c r="H66" s="458"/>
      <c r="I66" s="267">
        <f>364.95+173.77</f>
        <v>538.72</v>
      </c>
      <c r="J66" s="235"/>
      <c r="K66" s="234">
        <f t="shared" si="3"/>
        <v>9463.0477759999994</v>
      </c>
      <c r="L66" s="234"/>
      <c r="M66" s="488">
        <f t="shared" si="4"/>
        <v>9463.0477759999994</v>
      </c>
      <c r="N66" s="252"/>
      <c r="O66" s="284"/>
    </row>
    <row r="67" spans="1:15" ht="51" x14ac:dyDescent="0.25">
      <c r="A67" s="259" t="s">
        <v>604</v>
      </c>
      <c r="B67" s="264" t="s">
        <v>605</v>
      </c>
      <c r="C67" s="259" t="s">
        <v>565</v>
      </c>
      <c r="D67" s="371">
        <v>166.32</v>
      </c>
      <c r="E67" s="384">
        <v>14.932</v>
      </c>
      <c r="F67" s="235">
        <f>E67*D67</f>
        <v>2483.4902400000001</v>
      </c>
      <c r="G67" s="267">
        <v>172.44</v>
      </c>
      <c r="H67" s="458">
        <v>-6.12</v>
      </c>
      <c r="I67" s="267">
        <f>166.32</f>
        <v>166.32</v>
      </c>
      <c r="J67" s="235"/>
      <c r="K67" s="234">
        <f t="shared" si="3"/>
        <v>2574.87408</v>
      </c>
      <c r="L67" s="234">
        <f>E67*H67</f>
        <v>-91.383840000000006</v>
      </c>
      <c r="M67" s="488">
        <f t="shared" si="4"/>
        <v>2483.4902400000001</v>
      </c>
      <c r="N67" s="252"/>
      <c r="O67" s="484"/>
    </row>
    <row r="68" spans="1:15" ht="51" x14ac:dyDescent="0.25">
      <c r="A68" s="259" t="s">
        <v>606</v>
      </c>
      <c r="B68" s="264" t="s">
        <v>607</v>
      </c>
      <c r="C68" s="259" t="s">
        <v>565</v>
      </c>
      <c r="D68" s="371">
        <v>415.67</v>
      </c>
      <c r="E68" s="384">
        <v>14.34075</v>
      </c>
      <c r="F68" s="235">
        <f t="shared" si="2"/>
        <v>5961.0195524999999</v>
      </c>
      <c r="G68" s="267">
        <v>415.67</v>
      </c>
      <c r="H68" s="458"/>
      <c r="I68" s="267">
        <v>415.67</v>
      </c>
      <c r="J68" s="235"/>
      <c r="K68" s="234">
        <f t="shared" si="3"/>
        <v>5961.0195524999999</v>
      </c>
      <c r="L68" s="234"/>
      <c r="M68" s="488">
        <f t="shared" si="4"/>
        <v>5961.0195524999999</v>
      </c>
      <c r="N68" s="252"/>
      <c r="O68" s="378"/>
    </row>
    <row r="69" spans="1:15" s="245" customFormat="1" ht="51" x14ac:dyDescent="0.25">
      <c r="A69" s="259" t="s">
        <v>608</v>
      </c>
      <c r="B69" s="264" t="s">
        <v>609</v>
      </c>
      <c r="C69" s="259" t="s">
        <v>565</v>
      </c>
      <c r="D69" s="371">
        <v>340.99</v>
      </c>
      <c r="E69" s="384">
        <v>15.9748</v>
      </c>
      <c r="F69" s="235">
        <f t="shared" si="2"/>
        <v>5447.2470520000006</v>
      </c>
      <c r="G69" s="274">
        <v>281.86</v>
      </c>
      <c r="H69" s="458"/>
      <c r="I69" s="274">
        <v>281.86</v>
      </c>
      <c r="J69" s="235"/>
      <c r="K69" s="234">
        <f t="shared" si="3"/>
        <v>4502.6571279999998</v>
      </c>
      <c r="L69" s="270"/>
      <c r="M69" s="488">
        <f t="shared" si="4"/>
        <v>4502.6571279999998</v>
      </c>
      <c r="N69" s="252"/>
      <c r="O69" s="294"/>
    </row>
    <row r="70" spans="1:15" s="245" customFormat="1" ht="38.25" x14ac:dyDescent="0.25">
      <c r="A70" s="259" t="s">
        <v>610</v>
      </c>
      <c r="B70" s="264" t="s">
        <v>611</v>
      </c>
      <c r="C70" s="259" t="s">
        <v>81</v>
      </c>
      <c r="D70" s="371">
        <v>13.42</v>
      </c>
      <c r="E70" s="384">
        <v>396.33800000000002</v>
      </c>
      <c r="F70" s="235">
        <f t="shared" si="2"/>
        <v>5318.8559599999999</v>
      </c>
      <c r="G70" s="267">
        <v>11.63</v>
      </c>
      <c r="H70" s="458"/>
      <c r="I70" s="267">
        <f>9.62+2.01</f>
        <v>11.629999999999999</v>
      </c>
      <c r="J70" s="235"/>
      <c r="K70" s="234">
        <f t="shared" si="3"/>
        <v>4609.4109400000007</v>
      </c>
      <c r="L70" s="234"/>
      <c r="M70" s="488">
        <f t="shared" si="4"/>
        <v>4609.4109399999998</v>
      </c>
      <c r="N70" s="252"/>
      <c r="O70" s="363"/>
    </row>
    <row r="71" spans="1:15" ht="25.5" x14ac:dyDescent="0.25">
      <c r="A71" s="259" t="s">
        <v>612</v>
      </c>
      <c r="B71" s="264" t="s">
        <v>597</v>
      </c>
      <c r="C71" s="259" t="s">
        <v>81</v>
      </c>
      <c r="D71" s="371">
        <v>13.42</v>
      </c>
      <c r="E71" s="384">
        <v>153.95400000000001</v>
      </c>
      <c r="F71" s="235">
        <f t="shared" si="2"/>
        <v>2066.06268</v>
      </c>
      <c r="G71" s="267">
        <v>11.63</v>
      </c>
      <c r="H71" s="458"/>
      <c r="I71" s="267">
        <f>9.62+2.01</f>
        <v>11.629999999999999</v>
      </c>
      <c r="J71" s="235"/>
      <c r="K71" s="234">
        <f t="shared" si="3"/>
        <v>1790.4850200000003</v>
      </c>
      <c r="L71" s="234"/>
      <c r="M71" s="488">
        <f t="shared" si="4"/>
        <v>1790.4850199999998</v>
      </c>
      <c r="N71" s="252"/>
      <c r="O71" s="362"/>
    </row>
    <row r="72" spans="1:15" ht="8.1" customHeight="1" x14ac:dyDescent="0.25">
      <c r="A72" s="511"/>
      <c r="B72" s="510"/>
      <c r="C72" s="510"/>
      <c r="D72" s="510"/>
      <c r="E72" s="510"/>
      <c r="F72" s="510"/>
      <c r="G72" s="510"/>
      <c r="H72" s="510"/>
      <c r="I72" s="510"/>
      <c r="J72" s="510"/>
      <c r="K72" s="510"/>
      <c r="L72" s="510"/>
      <c r="M72" s="512"/>
      <c r="N72" s="252"/>
      <c r="O72" s="362"/>
    </row>
    <row r="73" spans="1:15" s="306" customFormat="1" ht="18" customHeight="1" x14ac:dyDescent="0.25">
      <c r="A73" s="366" t="s">
        <v>120</v>
      </c>
      <c r="B73" s="507" t="s">
        <v>918</v>
      </c>
      <c r="C73" s="508"/>
      <c r="D73" s="508"/>
      <c r="E73" s="509"/>
      <c r="F73" s="300">
        <f>SUM(F75:F84)-0.01</f>
        <v>48839.569425499998</v>
      </c>
      <c r="G73" s="302"/>
      <c r="H73" s="461"/>
      <c r="I73" s="302"/>
      <c r="J73" s="303"/>
      <c r="K73" s="305">
        <f>SUM(K75:K84)</f>
        <v>44632.325921000011</v>
      </c>
      <c r="L73" s="391"/>
      <c r="M73" s="493">
        <f>SUM(M75:M84)</f>
        <v>44632.325921000011</v>
      </c>
      <c r="N73" s="282"/>
      <c r="O73" s="286"/>
    </row>
    <row r="74" spans="1:15" s="306" customFormat="1" ht="8.1" customHeight="1" x14ac:dyDescent="0.25">
      <c r="A74" s="513"/>
      <c r="B74" s="514"/>
      <c r="C74" s="514"/>
      <c r="D74" s="514"/>
      <c r="E74" s="514"/>
      <c r="F74" s="514"/>
      <c r="G74" s="514"/>
      <c r="H74" s="514"/>
      <c r="I74" s="514"/>
      <c r="J74" s="514"/>
      <c r="K74" s="514"/>
      <c r="L74" s="514"/>
      <c r="M74" s="515"/>
      <c r="N74" s="282"/>
      <c r="O74" s="286"/>
    </row>
    <row r="75" spans="1:15" ht="38.25" x14ac:dyDescent="0.25">
      <c r="A75" s="259" t="s">
        <v>122</v>
      </c>
      <c r="B75" s="264" t="s">
        <v>613</v>
      </c>
      <c r="C75" s="259" t="s">
        <v>60</v>
      </c>
      <c r="D75" s="371">
        <v>269.08</v>
      </c>
      <c r="E75" s="384">
        <v>51.439700000000002</v>
      </c>
      <c r="F75" s="235">
        <f t="shared" si="2"/>
        <v>13841.394475999999</v>
      </c>
      <c r="G75" s="267">
        <f>216.4+23.9</f>
        <v>240.3</v>
      </c>
      <c r="H75" s="267"/>
      <c r="I75" s="267">
        <f>121.29+95.11+23.9</f>
        <v>240.3</v>
      </c>
      <c r="J75" s="235"/>
      <c r="K75" s="234">
        <f>E75*G75</f>
        <v>12360.959910000001</v>
      </c>
      <c r="L75" s="234"/>
      <c r="M75" s="488">
        <f>E75*I75</f>
        <v>12360.959910000001</v>
      </c>
      <c r="N75" s="252"/>
      <c r="O75" s="297"/>
    </row>
    <row r="76" spans="1:15" s="245" customFormat="1" ht="51" x14ac:dyDescent="0.25">
      <c r="A76" s="259" t="s">
        <v>123</v>
      </c>
      <c r="B76" s="264" t="s">
        <v>601</v>
      </c>
      <c r="C76" s="259" t="s">
        <v>565</v>
      </c>
      <c r="D76" s="371">
        <v>285.52</v>
      </c>
      <c r="E76" s="384">
        <v>20.489850000000001</v>
      </c>
      <c r="F76" s="235">
        <f t="shared" si="2"/>
        <v>5850.2619720000002</v>
      </c>
      <c r="G76" s="267">
        <f>233.63+26.64</f>
        <v>260.27</v>
      </c>
      <c r="H76" s="267"/>
      <c r="I76" s="267">
        <f>147.54 +86.09+26.64</f>
        <v>260.27</v>
      </c>
      <c r="J76" s="235"/>
      <c r="K76" s="234">
        <f t="shared" ref="K76:K84" si="5">E76*G76</f>
        <v>5332.8932594999997</v>
      </c>
      <c r="L76" s="234"/>
      <c r="M76" s="488">
        <f t="shared" ref="M76:M84" si="6">E76*I76</f>
        <v>5332.8932594999997</v>
      </c>
      <c r="N76" s="252"/>
      <c r="O76" s="298"/>
    </row>
    <row r="77" spans="1:15" s="245" customFormat="1" ht="51" x14ac:dyDescent="0.25">
      <c r="A77" s="259" t="s">
        <v>614</v>
      </c>
      <c r="B77" s="264" t="s">
        <v>615</v>
      </c>
      <c r="C77" s="259" t="s">
        <v>565</v>
      </c>
      <c r="D77" s="371">
        <v>134.66</v>
      </c>
      <c r="E77" s="384">
        <v>19.3826</v>
      </c>
      <c r="F77" s="235">
        <f t="shared" si="2"/>
        <v>2610.0609159999999</v>
      </c>
      <c r="G77" s="274">
        <f>114.64+7.36</f>
        <v>122</v>
      </c>
      <c r="H77" s="267"/>
      <c r="I77" s="274">
        <f>77.42+37.22+7.36</f>
        <v>122</v>
      </c>
      <c r="J77" s="235"/>
      <c r="K77" s="234">
        <f t="shared" si="5"/>
        <v>2364.6772000000001</v>
      </c>
      <c r="L77" s="234"/>
      <c r="M77" s="488">
        <f t="shared" si="6"/>
        <v>2364.6772000000001</v>
      </c>
      <c r="N77" s="252"/>
      <c r="O77" s="294"/>
    </row>
    <row r="78" spans="1:15" s="245" customFormat="1" ht="51" x14ac:dyDescent="0.25">
      <c r="A78" s="259" t="s">
        <v>616</v>
      </c>
      <c r="B78" s="264" t="s">
        <v>617</v>
      </c>
      <c r="C78" s="259" t="s">
        <v>565</v>
      </c>
      <c r="D78" s="371">
        <v>119.37</v>
      </c>
      <c r="E78" s="384">
        <v>20.12435</v>
      </c>
      <c r="F78" s="235">
        <f t="shared" si="2"/>
        <v>2402.2436594999999</v>
      </c>
      <c r="G78" s="267">
        <v>108.37</v>
      </c>
      <c r="H78" s="267"/>
      <c r="I78" s="267">
        <f>66.99+41.38</f>
        <v>108.37</v>
      </c>
      <c r="J78" s="235"/>
      <c r="K78" s="234">
        <f t="shared" si="5"/>
        <v>2180.8758095000003</v>
      </c>
      <c r="L78" s="234"/>
      <c r="M78" s="488">
        <f t="shared" si="6"/>
        <v>2180.8758095000003</v>
      </c>
      <c r="N78" s="252"/>
      <c r="O78" s="298"/>
    </row>
    <row r="79" spans="1:15" ht="51" x14ac:dyDescent="0.25">
      <c r="A79" s="259" t="s">
        <v>618</v>
      </c>
      <c r="B79" s="264" t="s">
        <v>603</v>
      </c>
      <c r="C79" s="259" t="s">
        <v>565</v>
      </c>
      <c r="D79" s="371">
        <v>291.54000000000002</v>
      </c>
      <c r="E79" s="384">
        <v>17.565799999999999</v>
      </c>
      <c r="F79" s="235">
        <f t="shared" si="2"/>
        <v>5121.1333320000003</v>
      </c>
      <c r="G79" s="267">
        <f>239.02+23.86</f>
        <v>262.88</v>
      </c>
      <c r="H79" s="267"/>
      <c r="I79" s="267">
        <f>173.22+65.8+23.86</f>
        <v>262.88</v>
      </c>
      <c r="J79" s="235"/>
      <c r="K79" s="234">
        <f t="shared" si="5"/>
        <v>4617.6975039999998</v>
      </c>
      <c r="L79" s="234"/>
      <c r="M79" s="488">
        <f t="shared" si="6"/>
        <v>4617.6975039999998</v>
      </c>
      <c r="N79" s="252"/>
      <c r="O79" s="297"/>
    </row>
    <row r="80" spans="1:15" s="245" customFormat="1" ht="51" x14ac:dyDescent="0.25">
      <c r="A80" s="259" t="s">
        <v>619</v>
      </c>
      <c r="B80" s="264" t="s">
        <v>605</v>
      </c>
      <c r="C80" s="259" t="s">
        <v>565</v>
      </c>
      <c r="D80" s="371">
        <v>185.86</v>
      </c>
      <c r="E80" s="384">
        <v>14.932</v>
      </c>
      <c r="F80" s="235">
        <f t="shared" si="2"/>
        <v>2775.2615200000005</v>
      </c>
      <c r="G80" s="274">
        <f>174.31+11.55</f>
        <v>185.86</v>
      </c>
      <c r="H80" s="267"/>
      <c r="I80" s="274">
        <f>76.82+97.49+11.55</f>
        <v>185.86</v>
      </c>
      <c r="J80" s="235"/>
      <c r="K80" s="234">
        <f t="shared" si="5"/>
        <v>2775.2615200000005</v>
      </c>
      <c r="L80" s="234"/>
      <c r="M80" s="488">
        <f t="shared" si="6"/>
        <v>2775.2615200000005</v>
      </c>
      <c r="N80" s="252"/>
      <c r="O80" s="284"/>
    </row>
    <row r="81" spans="1:15" ht="51" x14ac:dyDescent="0.25">
      <c r="A81" s="259" t="s">
        <v>620</v>
      </c>
      <c r="B81" s="264" t="s">
        <v>607</v>
      </c>
      <c r="C81" s="259" t="s">
        <v>565</v>
      </c>
      <c r="D81" s="371">
        <v>153.31</v>
      </c>
      <c r="E81" s="384">
        <v>14.3407</v>
      </c>
      <c r="F81" s="235">
        <f t="shared" si="2"/>
        <v>2198.572717</v>
      </c>
      <c r="G81" s="274">
        <f>98.2+48.9</f>
        <v>147.1</v>
      </c>
      <c r="H81" s="267"/>
      <c r="I81" s="274">
        <f>98.2+48.9</f>
        <v>147.1</v>
      </c>
      <c r="J81" s="235"/>
      <c r="K81" s="234">
        <f t="shared" si="5"/>
        <v>2109.5169700000001</v>
      </c>
      <c r="L81" s="234"/>
      <c r="M81" s="488">
        <f t="shared" si="6"/>
        <v>2109.5169700000001</v>
      </c>
      <c r="N81" s="252"/>
      <c r="O81" s="286"/>
    </row>
    <row r="82" spans="1:15" ht="38.25" x14ac:dyDescent="0.25">
      <c r="A82" s="259" t="s">
        <v>621</v>
      </c>
      <c r="B82" s="264" t="s">
        <v>611</v>
      </c>
      <c r="C82" s="259" t="s">
        <v>81</v>
      </c>
      <c r="D82" s="371">
        <v>13.61</v>
      </c>
      <c r="E82" s="384">
        <v>396.33800000000002</v>
      </c>
      <c r="F82" s="235">
        <f t="shared" si="2"/>
        <v>5394.1601799999999</v>
      </c>
      <c r="G82" s="267">
        <f>11.04+1.44</f>
        <v>12.479999999999999</v>
      </c>
      <c r="H82" s="267"/>
      <c r="I82" s="267">
        <f>5.84+5.2+1.44</f>
        <v>12.479999999999999</v>
      </c>
      <c r="J82" s="235"/>
      <c r="K82" s="234">
        <f t="shared" si="5"/>
        <v>4946.2982400000001</v>
      </c>
      <c r="L82" s="234"/>
      <c r="M82" s="488">
        <f t="shared" si="6"/>
        <v>4946.2982400000001</v>
      </c>
      <c r="N82" s="252"/>
      <c r="O82" s="297"/>
    </row>
    <row r="83" spans="1:15" ht="25.5" x14ac:dyDescent="0.25">
      <c r="A83" s="259" t="s">
        <v>622</v>
      </c>
      <c r="B83" s="264" t="s">
        <v>597</v>
      </c>
      <c r="C83" s="259" t="s">
        <v>81</v>
      </c>
      <c r="D83" s="371">
        <v>13.61</v>
      </c>
      <c r="E83" s="384">
        <v>153.95349999999999</v>
      </c>
      <c r="F83" s="235">
        <f t="shared" si="2"/>
        <v>2095.307135</v>
      </c>
      <c r="G83" s="267">
        <f>11.04+1.44</f>
        <v>12.479999999999999</v>
      </c>
      <c r="H83" s="267"/>
      <c r="I83" s="267">
        <f>5.84+5.2+1.44</f>
        <v>12.479999999999999</v>
      </c>
      <c r="J83" s="235"/>
      <c r="K83" s="234">
        <f t="shared" si="5"/>
        <v>1921.3396799999996</v>
      </c>
      <c r="L83" s="234"/>
      <c r="M83" s="488">
        <f t="shared" si="6"/>
        <v>1921.3396799999996</v>
      </c>
      <c r="N83" s="252"/>
      <c r="O83" s="297"/>
    </row>
    <row r="84" spans="1:15" ht="25.5" x14ac:dyDescent="0.25">
      <c r="A84" s="259" t="s">
        <v>623</v>
      </c>
      <c r="B84" s="264" t="s">
        <v>624</v>
      </c>
      <c r="C84" s="259" t="s">
        <v>189</v>
      </c>
      <c r="D84" s="371">
        <v>187.22</v>
      </c>
      <c r="E84" s="384">
        <v>34.991900000000001</v>
      </c>
      <c r="F84" s="235">
        <f t="shared" si="2"/>
        <v>6551.1835179999998</v>
      </c>
      <c r="G84" s="247">
        <v>172.12</v>
      </c>
      <c r="H84" s="267"/>
      <c r="I84" s="274">
        <f>168.12+4</f>
        <v>172.12</v>
      </c>
      <c r="J84" s="235"/>
      <c r="K84" s="234">
        <f t="shared" si="5"/>
        <v>6022.8058280000005</v>
      </c>
      <c r="L84" s="234"/>
      <c r="M84" s="488">
        <f t="shared" si="6"/>
        <v>6022.8058280000005</v>
      </c>
      <c r="N84" s="252"/>
      <c r="O84" s="364"/>
    </row>
    <row r="85" spans="1:15" ht="8.1" customHeight="1" x14ac:dyDescent="0.25">
      <c r="A85" s="511"/>
      <c r="B85" s="510"/>
      <c r="C85" s="510"/>
      <c r="D85" s="510"/>
      <c r="E85" s="510"/>
      <c r="F85" s="510"/>
      <c r="G85" s="510"/>
      <c r="H85" s="510"/>
      <c r="I85" s="510"/>
      <c r="J85" s="510"/>
      <c r="K85" s="510"/>
      <c r="L85" s="510"/>
      <c r="M85" s="512"/>
      <c r="N85" s="252"/>
      <c r="O85" s="364"/>
    </row>
    <row r="86" spans="1:15" s="306" customFormat="1" ht="18" x14ac:dyDescent="0.25">
      <c r="A86" s="366" t="s">
        <v>124</v>
      </c>
      <c r="B86" s="507" t="s">
        <v>625</v>
      </c>
      <c r="C86" s="508"/>
      <c r="D86" s="508"/>
      <c r="E86" s="509"/>
      <c r="F86" s="300">
        <f>SUM(F88:F96)</f>
        <v>59505.173466499997</v>
      </c>
      <c r="G86" s="301"/>
      <c r="H86" s="462"/>
      <c r="I86" s="302"/>
      <c r="J86" s="303"/>
      <c r="K86" s="305">
        <f>SUM(K88:K96)</f>
        <v>57188.606100500001</v>
      </c>
      <c r="L86" s="305"/>
      <c r="M86" s="501">
        <f>SUM(M88:M96)</f>
        <v>57188.606100500001</v>
      </c>
      <c r="N86" s="281"/>
      <c r="O86" s="362"/>
    </row>
    <row r="87" spans="1:15" s="306" customFormat="1" ht="8.1" customHeight="1" x14ac:dyDescent="0.25">
      <c r="A87" s="513"/>
      <c r="B87" s="514"/>
      <c r="C87" s="514"/>
      <c r="D87" s="514"/>
      <c r="E87" s="514"/>
      <c r="F87" s="514"/>
      <c r="G87" s="514"/>
      <c r="H87" s="514"/>
      <c r="I87" s="514"/>
      <c r="J87" s="514"/>
      <c r="K87" s="514"/>
      <c r="L87" s="514"/>
      <c r="M87" s="515"/>
      <c r="N87" s="281"/>
      <c r="O87" s="362"/>
    </row>
    <row r="88" spans="1:15" ht="51" x14ac:dyDescent="0.25">
      <c r="A88" s="259" t="s">
        <v>126</v>
      </c>
      <c r="B88" s="264" t="s">
        <v>626</v>
      </c>
      <c r="C88" s="259" t="s">
        <v>60</v>
      </c>
      <c r="D88" s="371">
        <v>113.89</v>
      </c>
      <c r="E88" s="384">
        <v>20.769300000000001</v>
      </c>
      <c r="F88" s="235">
        <f t="shared" si="2"/>
        <v>2365.4155770000002</v>
      </c>
      <c r="G88" s="247">
        <f>80.58+33.29</f>
        <v>113.87</v>
      </c>
      <c r="H88" s="267"/>
      <c r="I88" s="274">
        <f>66.38+14.2+33.29</f>
        <v>113.87</v>
      </c>
      <c r="J88" s="235"/>
      <c r="K88" s="234">
        <f>E88*G88</f>
        <v>2365.0001910000001</v>
      </c>
      <c r="L88" s="388"/>
      <c r="M88" s="488">
        <f>E88*I88</f>
        <v>2365.0001910000001</v>
      </c>
      <c r="N88" s="252"/>
    </row>
    <row r="89" spans="1:15" ht="51" x14ac:dyDescent="0.25">
      <c r="A89" s="259" t="s">
        <v>627</v>
      </c>
      <c r="B89" s="229" t="s">
        <v>628</v>
      </c>
      <c r="C89" s="259" t="s">
        <v>565</v>
      </c>
      <c r="D89" s="371">
        <v>228.07</v>
      </c>
      <c r="E89" s="384">
        <v>18.373999999999999</v>
      </c>
      <c r="F89" s="235">
        <f t="shared" si="2"/>
        <v>4190.55818</v>
      </c>
      <c r="G89" s="247">
        <v>228.07</v>
      </c>
      <c r="H89" s="267"/>
      <c r="I89" s="274">
        <v>228.07</v>
      </c>
      <c r="J89" s="235"/>
      <c r="K89" s="234">
        <f t="shared" ref="K89:K96" si="7">E89*G89</f>
        <v>4190.55818</v>
      </c>
      <c r="L89" s="388"/>
      <c r="M89" s="488">
        <f>E89*I89</f>
        <v>4190.55818</v>
      </c>
      <c r="N89" s="252"/>
    </row>
    <row r="90" spans="1:15" ht="51" x14ac:dyDescent="0.25">
      <c r="A90" s="259" t="s">
        <v>629</v>
      </c>
      <c r="B90" s="229" t="s">
        <v>630</v>
      </c>
      <c r="C90" s="259" t="s">
        <v>565</v>
      </c>
      <c r="D90" s="371">
        <v>499.55</v>
      </c>
      <c r="E90" s="384">
        <v>16.759550000000001</v>
      </c>
      <c r="F90" s="235">
        <f t="shared" si="2"/>
        <v>8372.2332025000014</v>
      </c>
      <c r="G90" s="247">
        <v>499.55</v>
      </c>
      <c r="H90" s="267"/>
      <c r="I90" s="274">
        <v>499.55</v>
      </c>
      <c r="J90" s="235"/>
      <c r="K90" s="234">
        <f t="shared" si="7"/>
        <v>8372.2332025000014</v>
      </c>
      <c r="L90" s="388"/>
      <c r="M90" s="488">
        <f>E90*I90</f>
        <v>8372.2332025000014</v>
      </c>
      <c r="N90" s="252"/>
      <c r="O90" s="364"/>
    </row>
    <row r="91" spans="1:15" ht="51" x14ac:dyDescent="0.25">
      <c r="A91" s="259" t="s">
        <v>631</v>
      </c>
      <c r="B91" s="229" t="s">
        <v>632</v>
      </c>
      <c r="C91" s="259" t="s">
        <v>565</v>
      </c>
      <c r="D91" s="371">
        <v>159.30000000000001</v>
      </c>
      <c r="E91" s="384">
        <v>14.297750000000001</v>
      </c>
      <c r="F91" s="235">
        <f t="shared" si="2"/>
        <v>2277.6315750000003</v>
      </c>
      <c r="G91" s="247"/>
      <c r="H91" s="267"/>
      <c r="I91" s="236"/>
      <c r="J91" s="235"/>
      <c r="K91" s="234">
        <f t="shared" si="7"/>
        <v>0</v>
      </c>
      <c r="L91" s="388"/>
      <c r="M91" s="488"/>
      <c r="N91" s="252"/>
    </row>
    <row r="92" spans="1:15" ht="38.25" x14ac:dyDescent="0.25">
      <c r="A92" s="259" t="s">
        <v>633</v>
      </c>
      <c r="B92" s="264" t="s">
        <v>611</v>
      </c>
      <c r="C92" s="259" t="s">
        <v>81</v>
      </c>
      <c r="D92" s="371">
        <v>14.8</v>
      </c>
      <c r="E92" s="384">
        <v>396.33800000000002</v>
      </c>
      <c r="F92" s="235">
        <f t="shared" si="2"/>
        <v>5865.8024000000005</v>
      </c>
      <c r="G92" s="247">
        <f>10.45+4.28</f>
        <v>14.73</v>
      </c>
      <c r="H92" s="267"/>
      <c r="I92" s="274">
        <f>7.97+2.48+4.28</f>
        <v>14.73</v>
      </c>
      <c r="J92" s="235"/>
      <c r="K92" s="234">
        <f t="shared" si="7"/>
        <v>5838.0587400000004</v>
      </c>
      <c r="L92" s="388"/>
      <c r="M92" s="488">
        <f>E92*I92</f>
        <v>5838.0587400000004</v>
      </c>
      <c r="N92" s="252"/>
      <c r="O92" s="364"/>
    </row>
    <row r="93" spans="1:15" ht="25.5" x14ac:dyDescent="0.25">
      <c r="A93" s="259" t="s">
        <v>634</v>
      </c>
      <c r="B93" s="264" t="s">
        <v>597</v>
      </c>
      <c r="C93" s="259" t="s">
        <v>81</v>
      </c>
      <c r="D93" s="371">
        <v>14.8</v>
      </c>
      <c r="E93" s="384">
        <v>153.95349999999999</v>
      </c>
      <c r="F93" s="235">
        <f t="shared" si="2"/>
        <v>2278.5117999999998</v>
      </c>
      <c r="G93" s="247">
        <f>10.45+4.28</f>
        <v>14.73</v>
      </c>
      <c r="H93" s="267"/>
      <c r="I93" s="274">
        <f>7.97+2.48+4.28</f>
        <v>14.73</v>
      </c>
      <c r="J93" s="235"/>
      <c r="K93" s="234">
        <f t="shared" si="7"/>
        <v>2267.7350550000001</v>
      </c>
      <c r="L93" s="388"/>
      <c r="M93" s="488">
        <f>E93*I93</f>
        <v>2267.7350550000001</v>
      </c>
      <c r="N93" s="252"/>
      <c r="O93" s="364"/>
    </row>
    <row r="94" spans="1:15" ht="51" x14ac:dyDescent="0.25">
      <c r="A94" s="259" t="s">
        <v>635</v>
      </c>
      <c r="B94" s="264" t="s">
        <v>636</v>
      </c>
      <c r="C94" s="259" t="s">
        <v>60</v>
      </c>
      <c r="D94" s="371">
        <v>389.88</v>
      </c>
      <c r="E94" s="384">
        <v>78.368899999999996</v>
      </c>
      <c r="F94" s="235">
        <f t="shared" si="2"/>
        <v>30554.466731999997</v>
      </c>
      <c r="G94" s="247">
        <v>389.88</v>
      </c>
      <c r="H94" s="267"/>
      <c r="I94" s="274">
        <f>224.03+121.47+44.38</f>
        <v>389.88</v>
      </c>
      <c r="J94" s="235"/>
      <c r="K94" s="234">
        <f t="shared" si="7"/>
        <v>30554.466731999997</v>
      </c>
      <c r="L94" s="388"/>
      <c r="M94" s="488">
        <f>E94*I94</f>
        <v>30554.466731999997</v>
      </c>
      <c r="N94" s="252"/>
      <c r="O94" s="364"/>
    </row>
    <row r="95" spans="1:15" ht="38.25" x14ac:dyDescent="0.25">
      <c r="A95" s="259" t="s">
        <v>914</v>
      </c>
      <c r="B95" s="229" t="s">
        <v>916</v>
      </c>
      <c r="C95" s="259" t="s">
        <v>565</v>
      </c>
      <c r="D95" s="371">
        <v>93.1</v>
      </c>
      <c r="E95" s="386">
        <v>20.49</v>
      </c>
      <c r="F95" s="235">
        <f t="shared" si="2"/>
        <v>1907.6189999999997</v>
      </c>
      <c r="G95" s="247">
        <f>29.26+63.84</f>
        <v>93.100000000000009</v>
      </c>
      <c r="H95" s="267"/>
      <c r="I95" s="274">
        <f>29.26+63.84</f>
        <v>93.100000000000009</v>
      </c>
      <c r="J95" s="235"/>
      <c r="K95" s="234">
        <f t="shared" si="7"/>
        <v>1907.6190000000001</v>
      </c>
      <c r="L95" s="388"/>
      <c r="M95" s="488">
        <f>E95*I95</f>
        <v>1907.6190000000001</v>
      </c>
      <c r="N95" s="252"/>
      <c r="O95" s="364"/>
    </row>
    <row r="96" spans="1:15" ht="38.25" x14ac:dyDescent="0.25">
      <c r="A96" s="259" t="s">
        <v>915</v>
      </c>
      <c r="B96" s="229" t="s">
        <v>917</v>
      </c>
      <c r="C96" s="259" t="s">
        <v>565</v>
      </c>
      <c r="D96" s="371">
        <v>91.51</v>
      </c>
      <c r="E96" s="384">
        <v>18.5</v>
      </c>
      <c r="F96" s="235">
        <f t="shared" si="2"/>
        <v>1692.9350000000002</v>
      </c>
      <c r="G96" s="247">
        <v>91.51</v>
      </c>
      <c r="H96" s="267"/>
      <c r="I96" s="274">
        <v>91.51</v>
      </c>
      <c r="J96" s="235"/>
      <c r="K96" s="234">
        <f t="shared" si="7"/>
        <v>1692.9350000000002</v>
      </c>
      <c r="L96" s="388"/>
      <c r="M96" s="488">
        <f>E96*I96</f>
        <v>1692.9350000000002</v>
      </c>
      <c r="N96" s="252"/>
      <c r="O96" s="364"/>
    </row>
    <row r="97" spans="1:15" ht="8.1" customHeight="1" x14ac:dyDescent="0.25">
      <c r="A97" s="511"/>
      <c r="B97" s="510"/>
      <c r="C97" s="510"/>
      <c r="D97" s="510"/>
      <c r="E97" s="510"/>
      <c r="F97" s="510"/>
      <c r="G97" s="510"/>
      <c r="H97" s="510"/>
      <c r="I97" s="510"/>
      <c r="J97" s="510"/>
      <c r="K97" s="510"/>
      <c r="L97" s="510"/>
      <c r="M97" s="512"/>
      <c r="N97" s="252"/>
      <c r="O97" s="364"/>
    </row>
    <row r="98" spans="1:15" s="306" customFormat="1" ht="18" x14ac:dyDescent="0.25">
      <c r="A98" s="366" t="s">
        <v>637</v>
      </c>
      <c r="B98" s="507" t="s">
        <v>638</v>
      </c>
      <c r="C98" s="508"/>
      <c r="D98" s="508"/>
      <c r="E98" s="509"/>
      <c r="F98" s="300">
        <f>SUM(F100:F105)+0.01</f>
        <v>10824.291799999999</v>
      </c>
      <c r="G98" s="301"/>
      <c r="H98" s="462"/>
      <c r="I98" s="302"/>
      <c r="J98" s="303"/>
      <c r="K98" s="305">
        <f>SUM(K100:K105)</f>
        <v>10824.281799999999</v>
      </c>
      <c r="L98" s="390"/>
      <c r="M98" s="489">
        <f>SUM(M100:M105)</f>
        <v>10824.281799999999</v>
      </c>
      <c r="N98" s="281"/>
      <c r="O98" s="362"/>
    </row>
    <row r="99" spans="1:15" s="306" customFormat="1" ht="8.1" customHeight="1" x14ac:dyDescent="0.25">
      <c r="A99" s="513"/>
      <c r="B99" s="514"/>
      <c r="C99" s="514"/>
      <c r="D99" s="514"/>
      <c r="E99" s="514"/>
      <c r="F99" s="514"/>
      <c r="G99" s="514"/>
      <c r="H99" s="514"/>
      <c r="I99" s="514"/>
      <c r="J99" s="514"/>
      <c r="K99" s="514"/>
      <c r="L99" s="514"/>
      <c r="M99" s="515"/>
      <c r="N99" s="281"/>
      <c r="O99" s="362"/>
    </row>
    <row r="100" spans="1:15" ht="25.5" x14ac:dyDescent="0.25">
      <c r="A100" s="259" t="s">
        <v>639</v>
      </c>
      <c r="B100" s="264" t="s">
        <v>640</v>
      </c>
      <c r="C100" s="259" t="s">
        <v>189</v>
      </c>
      <c r="D100" s="371">
        <v>20.8</v>
      </c>
      <c r="E100" s="384">
        <v>44.204799999999999</v>
      </c>
      <c r="F100" s="235">
        <f t="shared" si="2"/>
        <v>919.45983999999999</v>
      </c>
      <c r="G100" s="247">
        <v>20.8</v>
      </c>
      <c r="H100" s="267"/>
      <c r="I100" s="267">
        <v>20.8</v>
      </c>
      <c r="J100" s="235"/>
      <c r="K100" s="389">
        <f>E100*G100</f>
        <v>919.45983999999999</v>
      </c>
      <c r="L100" s="234"/>
      <c r="M100" s="490">
        <f t="shared" ref="M100:M105" si="8">E100*I100</f>
        <v>919.45983999999999</v>
      </c>
      <c r="N100" s="252"/>
    </row>
    <row r="101" spans="1:15" ht="25.5" x14ac:dyDescent="0.25">
      <c r="A101" s="259" t="s">
        <v>641</v>
      </c>
      <c r="B101" s="264" t="s">
        <v>642</v>
      </c>
      <c r="C101" s="259" t="s">
        <v>189</v>
      </c>
      <c r="D101" s="371">
        <v>47.7</v>
      </c>
      <c r="E101" s="384">
        <v>32.186</v>
      </c>
      <c r="F101" s="235">
        <f t="shared" si="2"/>
        <v>1535.2722000000001</v>
      </c>
      <c r="G101" s="247">
        <v>47.7</v>
      </c>
      <c r="H101" s="267"/>
      <c r="I101" s="267">
        <f>36.5+11.2</f>
        <v>47.7</v>
      </c>
      <c r="J101" s="235"/>
      <c r="K101" s="392">
        <f t="shared" ref="K101:K105" si="9">E101*G101</f>
        <v>1535.2722000000001</v>
      </c>
      <c r="L101" s="234"/>
      <c r="M101" s="491">
        <f t="shared" si="8"/>
        <v>1535.2722000000001</v>
      </c>
      <c r="N101" s="252"/>
      <c r="O101" s="379"/>
    </row>
    <row r="102" spans="1:15" ht="25.5" x14ac:dyDescent="0.25">
      <c r="A102" s="259" t="s">
        <v>643</v>
      </c>
      <c r="B102" s="264" t="s">
        <v>644</v>
      </c>
      <c r="C102" s="259" t="s">
        <v>189</v>
      </c>
      <c r="D102" s="371">
        <v>20.8</v>
      </c>
      <c r="E102" s="384">
        <v>43.3232</v>
      </c>
      <c r="F102" s="235">
        <f t="shared" si="2"/>
        <v>901.12256000000002</v>
      </c>
      <c r="G102" s="247">
        <v>20.8</v>
      </c>
      <c r="H102" s="267"/>
      <c r="I102" s="267">
        <v>20.8</v>
      </c>
      <c r="J102" s="235"/>
      <c r="K102" s="389">
        <f t="shared" si="9"/>
        <v>901.12256000000002</v>
      </c>
      <c r="L102" s="234"/>
      <c r="M102" s="490">
        <f t="shared" si="8"/>
        <v>901.12256000000002</v>
      </c>
      <c r="N102" s="252"/>
    </row>
    <row r="103" spans="1:15" ht="25.5" x14ac:dyDescent="0.25">
      <c r="A103" s="259" t="s">
        <v>645</v>
      </c>
      <c r="B103" s="264" t="s">
        <v>646</v>
      </c>
      <c r="C103" s="259" t="s">
        <v>189</v>
      </c>
      <c r="D103" s="371">
        <v>5.2</v>
      </c>
      <c r="E103" s="384">
        <v>56.944000000000003</v>
      </c>
      <c r="F103" s="235">
        <f t="shared" si="2"/>
        <v>296.10880000000003</v>
      </c>
      <c r="G103" s="247">
        <v>5.2</v>
      </c>
      <c r="H103" s="267"/>
      <c r="I103" s="267">
        <v>5.2</v>
      </c>
      <c r="J103" s="235"/>
      <c r="K103" s="389">
        <f t="shared" si="9"/>
        <v>296.10880000000003</v>
      </c>
      <c r="L103" s="234"/>
      <c r="M103" s="490">
        <f t="shared" si="8"/>
        <v>296.10880000000003</v>
      </c>
      <c r="N103" s="252"/>
    </row>
    <row r="104" spans="1:15" ht="25.5" x14ac:dyDescent="0.25">
      <c r="A104" s="259" t="s">
        <v>910</v>
      </c>
      <c r="B104" s="264" t="s">
        <v>912</v>
      </c>
      <c r="C104" s="259" t="s">
        <v>189</v>
      </c>
      <c r="D104" s="258">
        <v>62.4</v>
      </c>
      <c r="E104" s="384">
        <v>59.824800000000003</v>
      </c>
      <c r="F104" s="385">
        <f>D104*E104</f>
        <v>3733.0675200000001</v>
      </c>
      <c r="G104" s="370">
        <v>62.4</v>
      </c>
      <c r="H104" s="370"/>
      <c r="I104" s="370">
        <v>62.4</v>
      </c>
      <c r="J104" s="229"/>
      <c r="K104" s="400">
        <f t="shared" si="9"/>
        <v>3733.0675200000001</v>
      </c>
      <c r="L104" s="371"/>
      <c r="M104" s="492">
        <f t="shared" si="8"/>
        <v>3733.0675200000001</v>
      </c>
      <c r="N104" s="252"/>
      <c r="O104" s="380"/>
    </row>
    <row r="105" spans="1:15" ht="25.5" x14ac:dyDescent="0.25">
      <c r="A105" s="259" t="s">
        <v>911</v>
      </c>
      <c r="B105" s="264" t="s">
        <v>913</v>
      </c>
      <c r="C105" s="259" t="s">
        <v>189</v>
      </c>
      <c r="D105" s="371">
        <v>62.4</v>
      </c>
      <c r="E105" s="384">
        <v>55.116199999999999</v>
      </c>
      <c r="F105" s="385">
        <f>D105*E105</f>
        <v>3439.2508800000001</v>
      </c>
      <c r="G105" s="247">
        <v>62.4</v>
      </c>
      <c r="H105" s="267"/>
      <c r="I105" s="267">
        <v>62.4</v>
      </c>
      <c r="J105" s="235"/>
      <c r="K105" s="392">
        <f t="shared" si="9"/>
        <v>3439.2508800000001</v>
      </c>
      <c r="L105" s="371"/>
      <c r="M105" s="492">
        <f t="shared" si="8"/>
        <v>3439.2508800000001</v>
      </c>
      <c r="N105" s="252"/>
      <c r="O105" s="380"/>
    </row>
    <row r="106" spans="1:15" ht="8.1" customHeight="1" x14ac:dyDescent="0.25">
      <c r="A106" s="510"/>
      <c r="B106" s="510"/>
      <c r="C106" s="510"/>
      <c r="D106" s="510"/>
      <c r="E106" s="510"/>
      <c r="F106" s="510"/>
      <c r="G106" s="510"/>
      <c r="H106" s="510"/>
      <c r="I106" s="510"/>
      <c r="J106" s="510"/>
      <c r="K106" s="510"/>
      <c r="L106" s="510"/>
      <c r="M106" s="510"/>
      <c r="N106" s="252"/>
    </row>
    <row r="107" spans="1:15" s="411" customFormat="1" ht="18" customHeight="1" x14ac:dyDescent="0.25">
      <c r="A107" s="402" t="s">
        <v>647</v>
      </c>
      <c r="B107" s="504" t="s">
        <v>648</v>
      </c>
      <c r="C107" s="505"/>
      <c r="D107" s="505"/>
      <c r="E107" s="506"/>
      <c r="F107" s="403">
        <f>SUM(F108)</f>
        <v>49974.774961599993</v>
      </c>
      <c r="G107" s="404"/>
      <c r="H107" s="454"/>
      <c r="I107" s="405"/>
      <c r="J107" s="420"/>
      <c r="K107" s="417">
        <f>K108</f>
        <v>49974.774961599993</v>
      </c>
      <c r="L107" s="417"/>
      <c r="M107" s="415">
        <f>M108</f>
        <v>49974.774961599993</v>
      </c>
      <c r="N107" s="418"/>
      <c r="O107" s="421"/>
    </row>
    <row r="108" spans="1:15" ht="63.75" x14ac:dyDescent="0.25">
      <c r="A108" s="259" t="s">
        <v>649</v>
      </c>
      <c r="B108" s="229" t="s">
        <v>650</v>
      </c>
      <c r="C108" s="259" t="s">
        <v>60</v>
      </c>
      <c r="D108" s="371">
        <v>1145.29</v>
      </c>
      <c r="E108" s="384">
        <v>43.635039999999996</v>
      </c>
      <c r="F108" s="235">
        <f>E108*D108</f>
        <v>49974.774961599993</v>
      </c>
      <c r="G108" s="247">
        <v>1145.29</v>
      </c>
      <c r="H108" s="267"/>
      <c r="I108" s="274">
        <f>1104.11+41.18</f>
        <v>1145.29</v>
      </c>
      <c r="J108" s="235"/>
      <c r="K108" s="234">
        <f>E108*G108</f>
        <v>49974.774961599993</v>
      </c>
      <c r="L108" s="234"/>
      <c r="M108" s="234">
        <f>E108*I108</f>
        <v>49974.774961599993</v>
      </c>
      <c r="N108" s="273"/>
      <c r="O108" s="364"/>
    </row>
    <row r="109" spans="1:15" ht="8.1" customHeight="1" x14ac:dyDescent="0.25">
      <c r="A109" s="510"/>
      <c r="B109" s="510"/>
      <c r="C109" s="510"/>
      <c r="D109" s="510"/>
      <c r="E109" s="510"/>
      <c r="F109" s="510"/>
      <c r="G109" s="510"/>
      <c r="H109" s="510"/>
      <c r="I109" s="510"/>
      <c r="J109" s="510"/>
      <c r="K109" s="510"/>
      <c r="L109" s="510"/>
      <c r="M109" s="510"/>
      <c r="N109" s="252"/>
    </row>
    <row r="110" spans="1:15" s="411" customFormat="1" ht="18" customHeight="1" x14ac:dyDescent="0.25">
      <c r="A110" s="402" t="s">
        <v>651</v>
      </c>
      <c r="B110" s="504" t="s">
        <v>144</v>
      </c>
      <c r="C110" s="505"/>
      <c r="D110" s="505"/>
      <c r="E110" s="506"/>
      <c r="F110" s="403">
        <f>SUM(F111,F116,F119)</f>
        <v>70634.573195999998</v>
      </c>
      <c r="G110" s="404"/>
      <c r="H110" s="454"/>
      <c r="I110" s="405"/>
      <c r="J110" s="420"/>
      <c r="K110" s="417">
        <f>K111+K116+K119</f>
        <v>7684.4485125000001</v>
      </c>
      <c r="L110" s="417"/>
      <c r="M110" s="415">
        <f>M111+M116+M119</f>
        <v>52089.186343499998</v>
      </c>
      <c r="N110" s="418"/>
    </row>
    <row r="111" spans="1:15" s="306" customFormat="1" ht="18.75" customHeight="1" x14ac:dyDescent="0.25">
      <c r="A111" s="366" t="s">
        <v>145</v>
      </c>
      <c r="B111" s="507" t="s">
        <v>652</v>
      </c>
      <c r="C111" s="508"/>
      <c r="D111" s="508"/>
      <c r="E111" s="509"/>
      <c r="F111" s="312">
        <f>SUM(F112:F115)+0.01</f>
        <v>43933.318861</v>
      </c>
      <c r="G111" s="301"/>
      <c r="H111" s="463"/>
      <c r="I111" s="302"/>
      <c r="J111" s="313"/>
      <c r="K111" s="304"/>
      <c r="L111" s="305"/>
      <c r="M111" s="501">
        <f>SUM(M112:M115)</f>
        <v>39131.881641</v>
      </c>
      <c r="N111" s="281"/>
    </row>
    <row r="112" spans="1:15" ht="25.5" x14ac:dyDescent="0.25">
      <c r="A112" s="259" t="s">
        <v>653</v>
      </c>
      <c r="B112" s="229" t="s">
        <v>654</v>
      </c>
      <c r="C112" s="259" t="s">
        <v>60</v>
      </c>
      <c r="D112" s="371">
        <v>9.24</v>
      </c>
      <c r="E112" s="384">
        <v>365.47399999999999</v>
      </c>
      <c r="F112" s="235">
        <f t="shared" ref="F112:F120" si="10">E112*D112</f>
        <v>3376.9797600000002</v>
      </c>
      <c r="G112" s="247"/>
      <c r="H112" s="267"/>
      <c r="I112" s="236"/>
      <c r="J112" s="235"/>
      <c r="K112" s="234"/>
      <c r="L112" s="234"/>
      <c r="M112" s="234"/>
      <c r="N112" s="252"/>
    </row>
    <row r="113" spans="1:16" ht="51.75" customHeight="1" x14ac:dyDescent="0.25">
      <c r="A113" s="259" t="s">
        <v>655</v>
      </c>
      <c r="B113" s="229" t="s">
        <v>656</v>
      </c>
      <c r="C113" s="259" t="s">
        <v>60</v>
      </c>
      <c r="D113" s="371">
        <v>421.38</v>
      </c>
      <c r="E113" s="384">
        <v>19.877099999999999</v>
      </c>
      <c r="F113" s="235">
        <f>E113*D113</f>
        <v>8375.812398</v>
      </c>
      <c r="G113" s="247">
        <v>406.58</v>
      </c>
      <c r="H113" s="267"/>
      <c r="I113" s="274">
        <v>406.58</v>
      </c>
      <c r="J113" s="235"/>
      <c r="K113" s="234"/>
      <c r="L113" s="234"/>
      <c r="M113" s="234">
        <f t="shared" ref="M113:M115" si="11">E113*I113</f>
        <v>8081.6313179999988</v>
      </c>
      <c r="N113" s="252"/>
    </row>
    <row r="114" spans="1:16" ht="38.25" x14ac:dyDescent="0.25">
      <c r="A114" s="259" t="s">
        <v>657</v>
      </c>
      <c r="B114" s="264" t="s">
        <v>658</v>
      </c>
      <c r="C114" s="259" t="s">
        <v>60</v>
      </c>
      <c r="D114" s="371">
        <v>421.38</v>
      </c>
      <c r="E114" s="384">
        <v>14.85675</v>
      </c>
      <c r="F114" s="235">
        <f t="shared" si="10"/>
        <v>6260.3373149999998</v>
      </c>
      <c r="G114" s="247">
        <v>406.58</v>
      </c>
      <c r="H114" s="267"/>
      <c r="I114" s="274">
        <v>406.58</v>
      </c>
      <c r="J114" s="235"/>
      <c r="K114" s="234"/>
      <c r="L114" s="234"/>
      <c r="M114" s="234">
        <f t="shared" si="11"/>
        <v>6040.4574149999999</v>
      </c>
      <c r="N114" s="252"/>
    </row>
    <row r="115" spans="1:16" ht="51" x14ac:dyDescent="0.25">
      <c r="A115" s="259" t="s">
        <v>659</v>
      </c>
      <c r="B115" s="264" t="s">
        <v>660</v>
      </c>
      <c r="C115" s="259" t="s">
        <v>60</v>
      </c>
      <c r="D115" s="371">
        <v>421.38</v>
      </c>
      <c r="E115" s="384">
        <v>61.512599999999999</v>
      </c>
      <c r="F115" s="235">
        <f t="shared" si="10"/>
        <v>25920.179388</v>
      </c>
      <c r="G115" s="247">
        <v>406.58</v>
      </c>
      <c r="H115" s="267"/>
      <c r="I115" s="274">
        <v>406.58</v>
      </c>
      <c r="J115" s="235"/>
      <c r="K115" s="234"/>
      <c r="L115" s="234"/>
      <c r="M115" s="234">
        <f t="shared" si="11"/>
        <v>25009.792907999999</v>
      </c>
      <c r="N115" s="252"/>
    </row>
    <row r="116" spans="1:16" s="306" customFormat="1" ht="21" customHeight="1" x14ac:dyDescent="0.25">
      <c r="A116" s="366" t="s">
        <v>147</v>
      </c>
      <c r="B116" s="507" t="s">
        <v>661</v>
      </c>
      <c r="C116" s="508"/>
      <c r="D116" s="508"/>
      <c r="E116" s="509"/>
      <c r="F116" s="300">
        <f>SUM(F117:F118)-0.01</f>
        <v>13518.204165000001</v>
      </c>
      <c r="G116" s="301"/>
      <c r="H116" s="462"/>
      <c r="I116" s="302"/>
      <c r="J116" s="303"/>
      <c r="K116" s="305">
        <f>SUM(K117:K118)</f>
        <v>7684.4485125000001</v>
      </c>
      <c r="L116" s="305"/>
      <c r="M116" s="501">
        <f>SUM(M117:M118)</f>
        <v>12957.3047025</v>
      </c>
      <c r="N116" s="281"/>
      <c r="O116" s="381"/>
    </row>
    <row r="117" spans="1:16" ht="25.5" x14ac:dyDescent="0.25">
      <c r="A117" s="259" t="s">
        <v>662</v>
      </c>
      <c r="B117" s="229" t="s">
        <v>663</v>
      </c>
      <c r="C117" s="259" t="s">
        <v>189</v>
      </c>
      <c r="D117" s="371">
        <v>148.5</v>
      </c>
      <c r="E117" s="384">
        <v>53.869250000000001</v>
      </c>
      <c r="F117" s="235">
        <f t="shared" si="10"/>
        <v>7999.5836250000002</v>
      </c>
      <c r="G117" s="247">
        <v>142.65</v>
      </c>
      <c r="H117" s="267"/>
      <c r="I117" s="274">
        <v>142.65</v>
      </c>
      <c r="J117" s="235"/>
      <c r="K117" s="234">
        <f>E117*G117</f>
        <v>7684.4485125000001</v>
      </c>
      <c r="L117" s="234"/>
      <c r="M117" s="234">
        <f>E117*I117</f>
        <v>7684.4485125000001</v>
      </c>
      <c r="N117" s="252"/>
      <c r="O117" s="380"/>
    </row>
    <row r="118" spans="1:16" ht="38.25" x14ac:dyDescent="0.25">
      <c r="A118" s="259" t="s">
        <v>664</v>
      </c>
      <c r="B118" s="264" t="s">
        <v>665</v>
      </c>
      <c r="C118" s="259" t="s">
        <v>189</v>
      </c>
      <c r="D118" s="371">
        <v>83.08</v>
      </c>
      <c r="E118" s="384">
        <v>66.4255</v>
      </c>
      <c r="F118" s="235">
        <f t="shared" si="10"/>
        <v>5518.6305400000001</v>
      </c>
      <c r="G118" s="247">
        <v>79.38</v>
      </c>
      <c r="H118" s="267"/>
      <c r="I118" s="274">
        <v>79.38</v>
      </c>
      <c r="J118" s="235"/>
      <c r="K118" s="234"/>
      <c r="L118" s="234"/>
      <c r="M118" s="234">
        <f t="shared" ref="M118" si="12">E118*I118</f>
        <v>5272.8561899999995</v>
      </c>
      <c r="N118" s="252"/>
    </row>
    <row r="119" spans="1:16" s="306" customFormat="1" ht="18.75" customHeight="1" x14ac:dyDescent="0.25">
      <c r="A119" s="366" t="s">
        <v>666</v>
      </c>
      <c r="B119" s="507" t="s">
        <v>667</v>
      </c>
      <c r="C119" s="508"/>
      <c r="D119" s="508"/>
      <c r="E119" s="509"/>
      <c r="F119" s="300">
        <f>F120</f>
        <v>13183.050169999999</v>
      </c>
      <c r="G119" s="301"/>
      <c r="H119" s="462"/>
      <c r="I119" s="302"/>
      <c r="J119" s="303"/>
      <c r="K119" s="304"/>
      <c r="L119" s="234"/>
      <c r="M119" s="234"/>
      <c r="N119" s="281"/>
    </row>
    <row r="120" spans="1:16" ht="25.5" x14ac:dyDescent="0.25">
      <c r="A120" s="259" t="s">
        <v>668</v>
      </c>
      <c r="B120" s="229" t="s">
        <v>669</v>
      </c>
      <c r="C120" s="259" t="s">
        <v>60</v>
      </c>
      <c r="D120" s="371">
        <v>402.2</v>
      </c>
      <c r="E120" s="384">
        <v>32.777349999999998</v>
      </c>
      <c r="F120" s="235">
        <f t="shared" si="10"/>
        <v>13183.050169999999</v>
      </c>
      <c r="G120" s="247"/>
      <c r="H120" s="267"/>
      <c r="I120" s="236"/>
      <c r="J120" s="235"/>
      <c r="K120" s="234"/>
      <c r="L120" s="234"/>
      <c r="M120" s="234"/>
      <c r="N120" s="252"/>
    </row>
    <row r="121" spans="1:16" ht="8.1" customHeight="1" x14ac:dyDescent="0.25">
      <c r="A121" s="511"/>
      <c r="B121" s="510"/>
      <c r="C121" s="510"/>
      <c r="D121" s="510"/>
      <c r="E121" s="510"/>
      <c r="F121" s="510"/>
      <c r="G121" s="510"/>
      <c r="H121" s="510"/>
      <c r="I121" s="510"/>
      <c r="J121" s="510"/>
      <c r="K121" s="510"/>
      <c r="L121" s="510"/>
      <c r="M121" s="512"/>
      <c r="N121" s="252"/>
    </row>
    <row r="122" spans="1:16" s="427" customFormat="1" ht="18" customHeight="1" x14ac:dyDescent="0.25">
      <c r="A122" s="402" t="s">
        <v>670</v>
      </c>
      <c r="B122" s="504" t="s">
        <v>671</v>
      </c>
      <c r="C122" s="505"/>
      <c r="D122" s="505"/>
      <c r="E122" s="506"/>
      <c r="F122" s="403">
        <f>SUM(F123:F124)</f>
        <v>9207.0696525000003</v>
      </c>
      <c r="G122" s="409"/>
      <c r="H122" s="464"/>
      <c r="I122" s="413"/>
      <c r="J122" s="423"/>
      <c r="K122" s="417">
        <f>SUM(K123:K124)</f>
        <v>2498.11</v>
      </c>
      <c r="L122" s="424"/>
      <c r="M122" s="425">
        <f>SUM(M123:M124)</f>
        <v>7531.2995640000008</v>
      </c>
      <c r="N122" s="426"/>
    </row>
    <row r="123" spans="1:16" ht="25.5" x14ac:dyDescent="0.25">
      <c r="A123" s="259" t="s">
        <v>150</v>
      </c>
      <c r="B123" s="264" t="s">
        <v>672</v>
      </c>
      <c r="C123" s="259" t="s">
        <v>60</v>
      </c>
      <c r="D123" s="371">
        <v>401.27</v>
      </c>
      <c r="E123" s="384">
        <v>8.6861499999999996</v>
      </c>
      <c r="F123" s="235">
        <f>E123*D123</f>
        <v>3485.4914104999998</v>
      </c>
      <c r="G123" s="247">
        <v>288.92</v>
      </c>
      <c r="H123" s="458"/>
      <c r="I123" s="274">
        <f>G123+H123</f>
        <v>288.92</v>
      </c>
      <c r="J123" s="235"/>
      <c r="K123" s="234">
        <v>2498.11</v>
      </c>
      <c r="L123" s="272"/>
      <c r="M123" s="234">
        <f>H123+K123</f>
        <v>2498.11</v>
      </c>
      <c r="N123" s="252"/>
      <c r="O123" s="286"/>
      <c r="P123" s="253"/>
    </row>
    <row r="124" spans="1:16" ht="38.25" x14ac:dyDescent="0.25">
      <c r="A124" s="259" t="s">
        <v>154</v>
      </c>
      <c r="B124" s="264" t="s">
        <v>673</v>
      </c>
      <c r="C124" s="259" t="s">
        <v>60</v>
      </c>
      <c r="D124" s="371">
        <v>71.23</v>
      </c>
      <c r="E124" s="384">
        <v>80.325400000000002</v>
      </c>
      <c r="F124" s="235">
        <f>E124*D124</f>
        <v>5721.5782420000005</v>
      </c>
      <c r="G124" s="247">
        <v>62.66</v>
      </c>
      <c r="H124" s="267"/>
      <c r="I124" s="274">
        <v>62.66</v>
      </c>
      <c r="J124" s="235"/>
      <c r="K124" s="234"/>
      <c r="L124" s="234"/>
      <c r="M124" s="234">
        <f>E124*I124</f>
        <v>5033.1895640000002</v>
      </c>
      <c r="N124" s="477"/>
    </row>
    <row r="125" spans="1:16" ht="8.1" customHeight="1" x14ac:dyDescent="0.25">
      <c r="A125" s="510"/>
      <c r="B125" s="510"/>
      <c r="C125" s="510"/>
      <c r="D125" s="510"/>
      <c r="E125" s="510"/>
      <c r="F125" s="510"/>
      <c r="G125" s="510"/>
      <c r="H125" s="510"/>
      <c r="I125" s="510"/>
      <c r="J125" s="510"/>
      <c r="K125" s="510"/>
      <c r="L125" s="510"/>
      <c r="M125" s="510"/>
      <c r="N125" s="252"/>
    </row>
    <row r="126" spans="1:16" s="411" customFormat="1" ht="18" customHeight="1" x14ac:dyDescent="0.25">
      <c r="A126" s="402" t="s">
        <v>674</v>
      </c>
      <c r="B126" s="504" t="s">
        <v>149</v>
      </c>
      <c r="C126" s="505"/>
      <c r="D126" s="505"/>
      <c r="E126" s="506"/>
      <c r="F126" s="403">
        <f>SUM(F127,F136)</f>
        <v>65125.591279999993</v>
      </c>
      <c r="G126" s="404"/>
      <c r="H126" s="454"/>
      <c r="I126" s="405"/>
      <c r="J126" s="420"/>
      <c r="K126" s="422"/>
      <c r="L126" s="417">
        <f>L127+L136</f>
        <v>4650.192</v>
      </c>
      <c r="M126" s="415">
        <f>M127+M136</f>
        <v>21542.516</v>
      </c>
      <c r="N126" s="418"/>
    </row>
    <row r="127" spans="1:16" s="306" customFormat="1" ht="18" x14ac:dyDescent="0.25">
      <c r="A127" s="366" t="s">
        <v>164</v>
      </c>
      <c r="B127" s="507" t="s">
        <v>675</v>
      </c>
      <c r="C127" s="508"/>
      <c r="D127" s="508"/>
      <c r="E127" s="509"/>
      <c r="F127" s="312">
        <f>SUM(F128:F135)-0.01</f>
        <v>38429.099119999992</v>
      </c>
      <c r="G127" s="301"/>
      <c r="H127" s="463"/>
      <c r="I127" s="302"/>
      <c r="J127" s="313"/>
      <c r="K127" s="304"/>
      <c r="L127" s="305">
        <f>SUM(L128:L135)</f>
        <v>4650.192</v>
      </c>
      <c r="M127" s="501">
        <f>SUM(M128:M135)</f>
        <v>21542.516</v>
      </c>
      <c r="N127" s="281"/>
    </row>
    <row r="128" spans="1:16" ht="38.25" x14ac:dyDescent="0.25">
      <c r="A128" s="259" t="s">
        <v>676</v>
      </c>
      <c r="B128" s="229" t="s">
        <v>677</v>
      </c>
      <c r="C128" s="259" t="s">
        <v>60</v>
      </c>
      <c r="D128" s="371">
        <v>8.19</v>
      </c>
      <c r="E128" s="384">
        <v>598.07600000000002</v>
      </c>
      <c r="F128" s="235">
        <f t="shared" ref="F128:F138" si="13">E128*D128</f>
        <v>4898.24244</v>
      </c>
      <c r="G128" s="247"/>
      <c r="H128" s="267"/>
      <c r="I128" s="236"/>
      <c r="J128" s="235"/>
      <c r="K128" s="234"/>
      <c r="L128" s="234"/>
      <c r="M128" s="234"/>
      <c r="N128" s="252"/>
    </row>
    <row r="129" spans="1:14" ht="25.5" x14ac:dyDescent="0.25">
      <c r="A129" s="259" t="s">
        <v>678</v>
      </c>
      <c r="B129" s="229" t="s">
        <v>679</v>
      </c>
      <c r="C129" s="259" t="s">
        <v>60</v>
      </c>
      <c r="D129" s="371">
        <v>11.34</v>
      </c>
      <c r="E129" s="384">
        <v>504.09800000000001</v>
      </c>
      <c r="F129" s="235">
        <f t="shared" si="13"/>
        <v>5716.4713199999997</v>
      </c>
      <c r="G129" s="247"/>
      <c r="H129" s="267"/>
      <c r="I129" s="236"/>
      <c r="J129" s="235"/>
      <c r="K129" s="234"/>
      <c r="L129" s="234"/>
      <c r="M129" s="234"/>
      <c r="N129" s="252"/>
    </row>
    <row r="130" spans="1:14" ht="25.5" x14ac:dyDescent="0.25">
      <c r="A130" s="259" t="s">
        <v>680</v>
      </c>
      <c r="B130" s="229" t="s">
        <v>681</v>
      </c>
      <c r="C130" s="259" t="s">
        <v>60</v>
      </c>
      <c r="D130" s="371">
        <v>6.12</v>
      </c>
      <c r="E130" s="384">
        <v>426.428</v>
      </c>
      <c r="F130" s="235">
        <f t="shared" si="13"/>
        <v>2609.73936</v>
      </c>
      <c r="G130" s="247"/>
      <c r="H130" s="267"/>
      <c r="I130" s="236"/>
      <c r="J130" s="235"/>
      <c r="K130" s="234"/>
      <c r="L130" s="234"/>
      <c r="M130" s="234"/>
      <c r="N130" s="252"/>
    </row>
    <row r="131" spans="1:14" ht="63.75" x14ac:dyDescent="0.25">
      <c r="A131" s="259" t="s">
        <v>682</v>
      </c>
      <c r="B131" s="229" t="s">
        <v>683</v>
      </c>
      <c r="C131" s="259" t="s">
        <v>152</v>
      </c>
      <c r="D131" s="371">
        <v>4</v>
      </c>
      <c r="E131" s="384">
        <v>762.85599999999999</v>
      </c>
      <c r="F131" s="235">
        <f t="shared" si="13"/>
        <v>3051.424</v>
      </c>
      <c r="G131" s="247"/>
      <c r="H131" s="267">
        <v>4</v>
      </c>
      <c r="I131" s="274">
        <v>4</v>
      </c>
      <c r="J131" s="235"/>
      <c r="K131" s="234"/>
      <c r="L131" s="234">
        <f>E131*H131</f>
        <v>3051.424</v>
      </c>
      <c r="M131" s="234">
        <f t="shared" ref="M131:M133" si="14">E131*I131</f>
        <v>3051.424</v>
      </c>
      <c r="N131" s="477"/>
    </row>
    <row r="132" spans="1:14" ht="63.75" x14ac:dyDescent="0.25">
      <c r="A132" s="259" t="s">
        <v>684</v>
      </c>
      <c r="B132" s="229" t="s">
        <v>685</v>
      </c>
      <c r="C132" s="259" t="s">
        <v>152</v>
      </c>
      <c r="D132" s="371">
        <v>4</v>
      </c>
      <c r="E132" s="384">
        <v>799.38400000000001</v>
      </c>
      <c r="F132" s="235">
        <f t="shared" si="13"/>
        <v>3197.5360000000001</v>
      </c>
      <c r="G132" s="247">
        <v>2</v>
      </c>
      <c r="H132" s="485">
        <v>2</v>
      </c>
      <c r="I132" s="274">
        <v>4</v>
      </c>
      <c r="J132" s="235"/>
      <c r="K132" s="234"/>
      <c r="L132" s="234">
        <f>E132*H132</f>
        <v>1598.768</v>
      </c>
      <c r="M132" s="234">
        <f t="shared" si="14"/>
        <v>3197.5360000000001</v>
      </c>
      <c r="N132" s="252"/>
    </row>
    <row r="133" spans="1:14" ht="63.75" x14ac:dyDescent="0.25">
      <c r="A133" s="259" t="s">
        <v>686</v>
      </c>
      <c r="B133" s="229" t="s">
        <v>687</v>
      </c>
      <c r="C133" s="259" t="s">
        <v>152</v>
      </c>
      <c r="D133" s="371">
        <v>18</v>
      </c>
      <c r="E133" s="384">
        <v>849.64200000000005</v>
      </c>
      <c r="F133" s="235">
        <f t="shared" si="13"/>
        <v>15293.556</v>
      </c>
      <c r="G133" s="247">
        <v>18</v>
      </c>
      <c r="H133" s="267"/>
      <c r="I133" s="274">
        <v>18</v>
      </c>
      <c r="J133" s="235"/>
      <c r="K133" s="234">
        <f>E133*G133</f>
        <v>15293.556</v>
      </c>
      <c r="L133" s="234"/>
      <c r="M133" s="234">
        <f t="shared" si="14"/>
        <v>15293.556</v>
      </c>
      <c r="N133" s="252"/>
    </row>
    <row r="134" spans="1:14" ht="25.5" x14ac:dyDescent="0.25">
      <c r="A134" s="259" t="s">
        <v>688</v>
      </c>
      <c r="B134" s="229" t="s">
        <v>919</v>
      </c>
      <c r="C134" s="259" t="s">
        <v>152</v>
      </c>
      <c r="D134" s="371">
        <v>2</v>
      </c>
      <c r="E134" s="384">
        <v>914.41</v>
      </c>
      <c r="F134" s="235">
        <f t="shared" si="13"/>
        <v>1828.82</v>
      </c>
      <c r="G134" s="247"/>
      <c r="H134" s="267"/>
      <c r="I134" s="274"/>
      <c r="J134" s="235"/>
      <c r="K134" s="234"/>
      <c r="L134" s="234"/>
      <c r="M134" s="234"/>
      <c r="N134" s="252"/>
    </row>
    <row r="135" spans="1:14" ht="38.25" x14ac:dyDescent="0.25">
      <c r="A135" s="259" t="s">
        <v>689</v>
      </c>
      <c r="B135" s="229" t="s">
        <v>920</v>
      </c>
      <c r="C135" s="259" t="s">
        <v>152</v>
      </c>
      <c r="D135" s="371">
        <v>2</v>
      </c>
      <c r="E135" s="384">
        <v>916.66</v>
      </c>
      <c r="F135" s="235">
        <f t="shared" si="13"/>
        <v>1833.32</v>
      </c>
      <c r="G135" s="247"/>
      <c r="H135" s="267"/>
      <c r="I135" s="274"/>
      <c r="J135" s="235"/>
      <c r="K135" s="234"/>
      <c r="L135" s="234"/>
      <c r="M135" s="234"/>
      <c r="N135" s="252"/>
    </row>
    <row r="136" spans="1:14" s="306" customFormat="1" ht="18" x14ac:dyDescent="0.25">
      <c r="A136" s="366" t="s">
        <v>167</v>
      </c>
      <c r="B136" s="507" t="s">
        <v>690</v>
      </c>
      <c r="C136" s="508"/>
      <c r="D136" s="508"/>
      <c r="E136" s="509"/>
      <c r="F136" s="300">
        <f>SUM(F137:F138)</f>
        <v>26696.492159999998</v>
      </c>
      <c r="G136" s="301"/>
      <c r="H136" s="462"/>
      <c r="I136" s="302"/>
      <c r="J136" s="303"/>
      <c r="K136" s="304"/>
      <c r="L136" s="304"/>
      <c r="M136" s="234"/>
      <c r="N136" s="281"/>
    </row>
    <row r="137" spans="1:14" ht="25.5" x14ac:dyDescent="0.25">
      <c r="A137" s="259" t="s">
        <v>691</v>
      </c>
      <c r="B137" s="229" t="s">
        <v>692</v>
      </c>
      <c r="C137" s="266" t="s">
        <v>60</v>
      </c>
      <c r="D137" s="371">
        <v>52.8</v>
      </c>
      <c r="E137" s="384">
        <v>493.7672</v>
      </c>
      <c r="F137" s="235">
        <f t="shared" si="13"/>
        <v>26070.908159999999</v>
      </c>
      <c r="G137" s="247"/>
      <c r="H137" s="267"/>
      <c r="I137" s="236"/>
      <c r="J137" s="235"/>
      <c r="K137" s="234"/>
      <c r="L137" s="234"/>
      <c r="M137" s="234"/>
      <c r="N137" s="252"/>
    </row>
    <row r="138" spans="1:14" ht="38.25" x14ac:dyDescent="0.25">
      <c r="A138" s="259" t="s">
        <v>693</v>
      </c>
      <c r="B138" s="229" t="s">
        <v>694</v>
      </c>
      <c r="C138" s="266" t="s">
        <v>60</v>
      </c>
      <c r="D138" s="371">
        <v>0.8</v>
      </c>
      <c r="E138" s="384">
        <v>781.98</v>
      </c>
      <c r="F138" s="235">
        <f t="shared" si="13"/>
        <v>625.58400000000006</v>
      </c>
      <c r="G138" s="247"/>
      <c r="H138" s="267"/>
      <c r="I138" s="236"/>
      <c r="J138" s="235"/>
      <c r="K138" s="234"/>
      <c r="L138" s="234"/>
      <c r="M138" s="234"/>
      <c r="N138" s="252"/>
    </row>
    <row r="139" spans="1:14" ht="8.1" customHeight="1" x14ac:dyDescent="0.25">
      <c r="A139" s="510"/>
      <c r="B139" s="510"/>
      <c r="C139" s="510"/>
      <c r="D139" s="510"/>
      <c r="E139" s="510"/>
      <c r="F139" s="510"/>
      <c r="G139" s="510"/>
      <c r="H139" s="510"/>
      <c r="I139" s="510"/>
      <c r="J139" s="510"/>
      <c r="K139" s="510"/>
      <c r="L139" s="510"/>
      <c r="M139" s="510"/>
      <c r="N139" s="252"/>
    </row>
    <row r="140" spans="1:14" s="436" customFormat="1" ht="20.25" x14ac:dyDescent="0.25">
      <c r="A140" s="402" t="s">
        <v>695</v>
      </c>
      <c r="B140" s="504" t="s">
        <v>218</v>
      </c>
      <c r="C140" s="505"/>
      <c r="D140" s="505"/>
      <c r="E140" s="506"/>
      <c r="F140" s="403">
        <f>SUM(F141:F176)-0.03</f>
        <v>10352.645133</v>
      </c>
      <c r="G140" s="404"/>
      <c r="H140" s="454"/>
      <c r="I140" s="405"/>
      <c r="J140" s="420"/>
      <c r="K140" s="417">
        <f>SUM(K141:K176)</f>
        <v>4553.2101329999996</v>
      </c>
      <c r="L140" s="417"/>
      <c r="M140" s="415">
        <f>SUM(M141:M176)</f>
        <v>7650.4021330000005</v>
      </c>
      <c r="N140" s="479"/>
    </row>
    <row r="141" spans="1:14" x14ac:dyDescent="0.25">
      <c r="A141" s="428" t="s">
        <v>180</v>
      </c>
      <c r="B141" s="429" t="s">
        <v>696</v>
      </c>
      <c r="C141" s="430" t="s">
        <v>152</v>
      </c>
      <c r="D141" s="431">
        <v>1</v>
      </c>
      <c r="E141" s="432">
        <v>2978.07</v>
      </c>
      <c r="F141" s="433">
        <f t="shared" ref="F141:F176" si="15">E141*D141</f>
        <v>2978.07</v>
      </c>
      <c r="G141" s="434">
        <v>1</v>
      </c>
      <c r="H141" s="465"/>
      <c r="I141" s="469">
        <v>1</v>
      </c>
      <c r="J141" s="433"/>
      <c r="K141" s="435"/>
      <c r="L141" s="435"/>
      <c r="M141" s="487">
        <f>E141*I141</f>
        <v>2978.07</v>
      </c>
      <c r="N141" s="252"/>
    </row>
    <row r="142" spans="1:14" ht="51" x14ac:dyDescent="0.25">
      <c r="A142" s="259" t="s">
        <v>183</v>
      </c>
      <c r="B142" s="229" t="s">
        <v>697</v>
      </c>
      <c r="C142" s="266" t="s">
        <v>152</v>
      </c>
      <c r="D142" s="371">
        <v>2</v>
      </c>
      <c r="E142" s="384">
        <v>42.216000000000001</v>
      </c>
      <c r="F142" s="235">
        <f t="shared" si="15"/>
        <v>84.432000000000002</v>
      </c>
      <c r="G142" s="247">
        <v>2</v>
      </c>
      <c r="H142" s="267"/>
      <c r="I142" s="274">
        <v>2</v>
      </c>
      <c r="J142" s="235"/>
      <c r="K142" s="234"/>
      <c r="L142" s="234"/>
      <c r="M142" s="488">
        <f t="shared" ref="M142:M171" si="16">E142*I142</f>
        <v>84.432000000000002</v>
      </c>
      <c r="N142" s="252"/>
    </row>
    <row r="143" spans="1:14" ht="51" x14ac:dyDescent="0.25">
      <c r="A143" s="259" t="s">
        <v>185</v>
      </c>
      <c r="B143" s="229" t="s">
        <v>698</v>
      </c>
      <c r="C143" s="266" t="s">
        <v>152</v>
      </c>
      <c r="D143" s="371">
        <v>1</v>
      </c>
      <c r="E143" s="384">
        <v>20.14</v>
      </c>
      <c r="F143" s="235">
        <f t="shared" si="15"/>
        <v>20.14</v>
      </c>
      <c r="G143" s="247">
        <v>1</v>
      </c>
      <c r="H143" s="267"/>
      <c r="I143" s="274">
        <v>1</v>
      </c>
      <c r="J143" s="235"/>
      <c r="K143" s="234"/>
      <c r="L143" s="234"/>
      <c r="M143" s="488">
        <f t="shared" si="16"/>
        <v>20.14</v>
      </c>
      <c r="N143" s="252"/>
    </row>
    <row r="144" spans="1:14" ht="63.75" x14ac:dyDescent="0.25">
      <c r="A144" s="259" t="s">
        <v>187</v>
      </c>
      <c r="B144" s="229" t="s">
        <v>699</v>
      </c>
      <c r="C144" s="266" t="s">
        <v>152</v>
      </c>
      <c r="D144" s="371">
        <v>3</v>
      </c>
      <c r="E144" s="384">
        <v>4.8499999999999996</v>
      </c>
      <c r="F144" s="235">
        <f t="shared" si="15"/>
        <v>14.549999999999999</v>
      </c>
      <c r="G144" s="247">
        <v>3</v>
      </c>
      <c r="H144" s="267"/>
      <c r="I144" s="274">
        <v>3</v>
      </c>
      <c r="J144" s="235"/>
      <c r="K144" s="234"/>
      <c r="L144" s="234"/>
      <c r="M144" s="488">
        <f t="shared" si="16"/>
        <v>14.549999999999999</v>
      </c>
      <c r="N144" s="252"/>
    </row>
    <row r="145" spans="1:14" ht="25.5" x14ac:dyDescent="0.25">
      <c r="A145" s="259" t="s">
        <v>191</v>
      </c>
      <c r="B145" s="229" t="s">
        <v>700</v>
      </c>
      <c r="C145" s="266" t="s">
        <v>152</v>
      </c>
      <c r="D145" s="371">
        <v>1</v>
      </c>
      <c r="E145" s="384">
        <v>35.74</v>
      </c>
      <c r="F145" s="235">
        <f t="shared" si="15"/>
        <v>35.74</v>
      </c>
      <c r="G145" s="247">
        <v>1</v>
      </c>
      <c r="H145" s="267"/>
      <c r="I145" s="274">
        <v>1</v>
      </c>
      <c r="J145" s="235"/>
      <c r="K145" s="388">
        <f>E145*G145</f>
        <v>35.74</v>
      </c>
      <c r="L145" s="388"/>
      <c r="M145" s="488">
        <f t="shared" si="16"/>
        <v>35.74</v>
      </c>
      <c r="N145" s="252"/>
    </row>
    <row r="146" spans="1:14" ht="38.25" x14ac:dyDescent="0.25">
      <c r="A146" s="259" t="s">
        <v>701</v>
      </c>
      <c r="B146" s="229" t="s">
        <v>702</v>
      </c>
      <c r="C146" s="266" t="s">
        <v>152</v>
      </c>
      <c r="D146" s="371">
        <v>28</v>
      </c>
      <c r="E146" s="384">
        <v>6.633</v>
      </c>
      <c r="F146" s="235">
        <f t="shared" si="15"/>
        <v>185.72399999999999</v>
      </c>
      <c r="G146" s="247">
        <v>28</v>
      </c>
      <c r="H146" s="267"/>
      <c r="I146" s="274">
        <v>28</v>
      </c>
      <c r="J146" s="235"/>
      <c r="K146" s="388">
        <f>E146*G146</f>
        <v>185.72399999999999</v>
      </c>
      <c r="L146" s="388"/>
      <c r="M146" s="488">
        <f t="shared" si="16"/>
        <v>185.72399999999999</v>
      </c>
      <c r="N146" s="382"/>
    </row>
    <row r="147" spans="1:14" ht="38.25" x14ac:dyDescent="0.25">
      <c r="A147" s="259" t="s">
        <v>703</v>
      </c>
      <c r="B147" s="229" t="s">
        <v>704</v>
      </c>
      <c r="C147" s="266" t="s">
        <v>152</v>
      </c>
      <c r="D147" s="371">
        <v>26</v>
      </c>
      <c r="E147" s="384">
        <v>13.6205</v>
      </c>
      <c r="F147" s="235">
        <f t="shared" si="15"/>
        <v>354.13299999999998</v>
      </c>
      <c r="G147" s="247">
        <v>26</v>
      </c>
      <c r="H147" s="267"/>
      <c r="I147" s="274">
        <v>26</v>
      </c>
      <c r="J147" s="235"/>
      <c r="K147" s="388">
        <f>E147*G147</f>
        <v>354.13299999999998</v>
      </c>
      <c r="L147" s="388"/>
      <c r="M147" s="488">
        <f t="shared" si="16"/>
        <v>354.13299999999998</v>
      </c>
      <c r="N147" s="382"/>
    </row>
    <row r="148" spans="1:14" ht="38.25" x14ac:dyDescent="0.25">
      <c r="A148" s="259" t="s">
        <v>705</v>
      </c>
      <c r="B148" s="229" t="s">
        <v>706</v>
      </c>
      <c r="C148" s="266" t="s">
        <v>152</v>
      </c>
      <c r="D148" s="371">
        <v>1</v>
      </c>
      <c r="E148" s="384">
        <v>15.09</v>
      </c>
      <c r="F148" s="235">
        <f t="shared" si="15"/>
        <v>15.09</v>
      </c>
      <c r="G148" s="247">
        <v>1</v>
      </c>
      <c r="H148" s="267"/>
      <c r="I148" s="274">
        <v>1</v>
      </c>
      <c r="J148" s="235"/>
      <c r="K148" s="388">
        <f t="shared" ref="K148:K150" si="17">E148*G148</f>
        <v>15.09</v>
      </c>
      <c r="L148" s="388"/>
      <c r="M148" s="488">
        <f t="shared" si="16"/>
        <v>15.09</v>
      </c>
      <c r="N148" s="252"/>
    </row>
    <row r="149" spans="1:14" ht="38.25" x14ac:dyDescent="0.25">
      <c r="A149" s="259" t="s">
        <v>707</v>
      </c>
      <c r="B149" s="229" t="s">
        <v>708</v>
      </c>
      <c r="C149" s="266" t="s">
        <v>152</v>
      </c>
      <c r="D149" s="371">
        <v>1</v>
      </c>
      <c r="E149" s="384">
        <v>9.7200000000000006</v>
      </c>
      <c r="F149" s="235">
        <f t="shared" si="15"/>
        <v>9.7200000000000006</v>
      </c>
      <c r="G149" s="247">
        <v>1</v>
      </c>
      <c r="H149" s="267"/>
      <c r="I149" s="274">
        <v>1</v>
      </c>
      <c r="J149" s="235"/>
      <c r="K149" s="388">
        <f t="shared" si="17"/>
        <v>9.7200000000000006</v>
      </c>
      <c r="L149" s="388"/>
      <c r="M149" s="488">
        <f t="shared" si="16"/>
        <v>9.7200000000000006</v>
      </c>
      <c r="N149" s="252"/>
    </row>
    <row r="150" spans="1:14" ht="25.5" x14ac:dyDescent="0.25">
      <c r="A150" s="259" t="s">
        <v>709</v>
      </c>
      <c r="B150" s="229" t="s">
        <v>710</v>
      </c>
      <c r="C150" s="266" t="s">
        <v>152</v>
      </c>
      <c r="D150" s="371">
        <v>6</v>
      </c>
      <c r="E150" s="384">
        <v>1.1719999999999999</v>
      </c>
      <c r="F150" s="235">
        <f t="shared" si="15"/>
        <v>7.032</v>
      </c>
      <c r="G150" s="247">
        <v>6</v>
      </c>
      <c r="H150" s="267"/>
      <c r="I150" s="274">
        <v>6</v>
      </c>
      <c r="J150" s="235"/>
      <c r="K150" s="388">
        <f t="shared" si="17"/>
        <v>7.032</v>
      </c>
      <c r="L150" s="388"/>
      <c r="M150" s="488">
        <f t="shared" si="16"/>
        <v>7.032</v>
      </c>
      <c r="N150" s="252"/>
    </row>
    <row r="151" spans="1:14" ht="38.25" x14ac:dyDescent="0.25">
      <c r="A151" s="259" t="s">
        <v>711</v>
      </c>
      <c r="B151" s="229" t="s">
        <v>712</v>
      </c>
      <c r="C151" s="266" t="s">
        <v>152</v>
      </c>
      <c r="D151" s="371">
        <v>15</v>
      </c>
      <c r="E151" s="384">
        <v>15.147500000000001</v>
      </c>
      <c r="F151" s="235">
        <f t="shared" si="15"/>
        <v>227.21250000000001</v>
      </c>
      <c r="G151" s="247">
        <v>15</v>
      </c>
      <c r="H151" s="267"/>
      <c r="I151" s="274">
        <v>15</v>
      </c>
      <c r="J151" s="235"/>
      <c r="K151" s="388">
        <f>E151*G151</f>
        <v>227.21250000000001</v>
      </c>
      <c r="L151" s="388"/>
      <c r="M151" s="488">
        <f t="shared" si="16"/>
        <v>227.21250000000001</v>
      </c>
      <c r="N151" s="382"/>
    </row>
    <row r="152" spans="1:14" ht="51" x14ac:dyDescent="0.25">
      <c r="A152" s="259" t="s">
        <v>713</v>
      </c>
      <c r="B152" s="229" t="s">
        <v>714</v>
      </c>
      <c r="C152" s="266" t="s">
        <v>152</v>
      </c>
      <c r="D152" s="371">
        <v>1</v>
      </c>
      <c r="E152" s="384">
        <v>27.18</v>
      </c>
      <c r="F152" s="235">
        <f t="shared" si="15"/>
        <v>27.18</v>
      </c>
      <c r="G152" s="247">
        <v>1</v>
      </c>
      <c r="H152" s="267"/>
      <c r="I152" s="274">
        <v>1</v>
      </c>
      <c r="J152" s="235"/>
      <c r="K152" s="234">
        <f>E152*G152</f>
        <v>27.18</v>
      </c>
      <c r="L152" s="388"/>
      <c r="M152" s="488">
        <f t="shared" si="16"/>
        <v>27.18</v>
      </c>
      <c r="N152" s="478"/>
    </row>
    <row r="153" spans="1:14" ht="25.5" x14ac:dyDescent="0.25">
      <c r="A153" s="259" t="s">
        <v>715</v>
      </c>
      <c r="B153" s="229" t="s">
        <v>716</v>
      </c>
      <c r="C153" s="266" t="s">
        <v>152</v>
      </c>
      <c r="D153" s="371">
        <v>6</v>
      </c>
      <c r="E153" s="384">
        <v>8.4939999999999998</v>
      </c>
      <c r="F153" s="235">
        <f t="shared" si="15"/>
        <v>50.963999999999999</v>
      </c>
      <c r="G153" s="247">
        <v>6</v>
      </c>
      <c r="H153" s="267"/>
      <c r="I153" s="274">
        <v>6</v>
      </c>
      <c r="J153" s="235"/>
      <c r="K153" s="388">
        <f>E153*G153</f>
        <v>50.963999999999999</v>
      </c>
      <c r="L153" s="388"/>
      <c r="M153" s="488">
        <f t="shared" si="16"/>
        <v>50.963999999999999</v>
      </c>
      <c r="N153" s="252"/>
    </row>
    <row r="154" spans="1:14" ht="38.25" x14ac:dyDescent="0.25">
      <c r="A154" s="259" t="s">
        <v>717</v>
      </c>
      <c r="B154" s="229" t="s">
        <v>708</v>
      </c>
      <c r="C154" s="266" t="s">
        <v>152</v>
      </c>
      <c r="D154" s="371">
        <v>2</v>
      </c>
      <c r="E154" s="384">
        <v>9.7200000000000006</v>
      </c>
      <c r="F154" s="235">
        <f t="shared" si="15"/>
        <v>19.440000000000001</v>
      </c>
      <c r="G154" s="247">
        <v>2</v>
      </c>
      <c r="H154" s="267"/>
      <c r="I154" s="274">
        <v>2</v>
      </c>
      <c r="J154" s="235"/>
      <c r="K154" s="388">
        <f t="shared" ref="K154:K157" si="18">E154*G154</f>
        <v>19.440000000000001</v>
      </c>
      <c r="L154" s="388"/>
      <c r="M154" s="488">
        <f t="shared" si="16"/>
        <v>19.440000000000001</v>
      </c>
      <c r="N154" s="252"/>
    </row>
    <row r="155" spans="1:14" ht="25.5" x14ac:dyDescent="0.25">
      <c r="A155" s="259" t="s">
        <v>718</v>
      </c>
      <c r="B155" s="229" t="s">
        <v>719</v>
      </c>
      <c r="C155" s="266" t="s">
        <v>152</v>
      </c>
      <c r="D155" s="371">
        <v>2</v>
      </c>
      <c r="E155" s="384">
        <v>4.18</v>
      </c>
      <c r="F155" s="235">
        <f t="shared" si="15"/>
        <v>8.36</v>
      </c>
      <c r="G155" s="247">
        <v>2</v>
      </c>
      <c r="H155" s="267"/>
      <c r="I155" s="274">
        <v>2</v>
      </c>
      <c r="J155" s="235"/>
      <c r="K155" s="388">
        <f t="shared" si="18"/>
        <v>8.36</v>
      </c>
      <c r="L155" s="388"/>
      <c r="M155" s="488">
        <f t="shared" si="16"/>
        <v>8.36</v>
      </c>
      <c r="N155" s="252"/>
    </row>
    <row r="156" spans="1:14" ht="25.5" x14ac:dyDescent="0.25">
      <c r="A156" s="259" t="s">
        <v>720</v>
      </c>
      <c r="B156" s="229" t="s">
        <v>721</v>
      </c>
      <c r="C156" s="266" t="s">
        <v>152</v>
      </c>
      <c r="D156" s="371">
        <v>2</v>
      </c>
      <c r="E156" s="384">
        <v>5.4059999999999997</v>
      </c>
      <c r="F156" s="235">
        <f t="shared" si="15"/>
        <v>10.811999999999999</v>
      </c>
      <c r="G156" s="247">
        <v>2</v>
      </c>
      <c r="H156" s="267"/>
      <c r="I156" s="274">
        <v>2</v>
      </c>
      <c r="J156" s="235"/>
      <c r="K156" s="388">
        <f t="shared" si="18"/>
        <v>10.811999999999999</v>
      </c>
      <c r="L156" s="388"/>
      <c r="M156" s="488">
        <f t="shared" si="16"/>
        <v>10.811999999999999</v>
      </c>
      <c r="N156" s="252"/>
    </row>
    <row r="157" spans="1:14" ht="25.5" x14ac:dyDescent="0.25">
      <c r="A157" s="259" t="s">
        <v>722</v>
      </c>
      <c r="B157" s="229" t="s">
        <v>723</v>
      </c>
      <c r="C157" s="266" t="s">
        <v>152</v>
      </c>
      <c r="D157" s="371">
        <v>1</v>
      </c>
      <c r="E157" s="384">
        <v>2.54</v>
      </c>
      <c r="F157" s="235">
        <f t="shared" si="15"/>
        <v>2.54</v>
      </c>
      <c r="G157" s="247">
        <v>1</v>
      </c>
      <c r="H157" s="267"/>
      <c r="I157" s="274">
        <v>1</v>
      </c>
      <c r="J157" s="235"/>
      <c r="K157" s="388">
        <f t="shared" si="18"/>
        <v>2.54</v>
      </c>
      <c r="L157" s="388"/>
      <c r="M157" s="488">
        <f t="shared" si="16"/>
        <v>2.54</v>
      </c>
      <c r="N157" s="252"/>
    </row>
    <row r="158" spans="1:14" ht="38.25" x14ac:dyDescent="0.25">
      <c r="A158" s="259" t="s">
        <v>724</v>
      </c>
      <c r="B158" s="229" t="s">
        <v>725</v>
      </c>
      <c r="C158" s="266" t="s">
        <v>152</v>
      </c>
      <c r="D158" s="371">
        <v>6</v>
      </c>
      <c r="E158" s="384">
        <v>12.782</v>
      </c>
      <c r="F158" s="235">
        <f t="shared" si="15"/>
        <v>76.692000000000007</v>
      </c>
      <c r="G158" s="247">
        <v>6</v>
      </c>
      <c r="H158" s="267"/>
      <c r="I158" s="274">
        <v>6</v>
      </c>
      <c r="J158" s="235"/>
      <c r="K158" s="388">
        <f t="shared" ref="K158:K163" si="19">E158*G158</f>
        <v>76.692000000000007</v>
      </c>
      <c r="L158" s="388"/>
      <c r="M158" s="488">
        <f t="shared" si="16"/>
        <v>76.692000000000007</v>
      </c>
      <c r="N158" s="382"/>
    </row>
    <row r="159" spans="1:14" ht="38.25" x14ac:dyDescent="0.25">
      <c r="A159" s="259" t="s">
        <v>726</v>
      </c>
      <c r="B159" s="229" t="s">
        <v>727</v>
      </c>
      <c r="C159" s="266" t="s">
        <v>152</v>
      </c>
      <c r="D159" s="371">
        <v>5</v>
      </c>
      <c r="E159" s="384">
        <v>10.922000000000001</v>
      </c>
      <c r="F159" s="235">
        <f t="shared" si="15"/>
        <v>54.61</v>
      </c>
      <c r="G159" s="247">
        <v>5</v>
      </c>
      <c r="H159" s="267"/>
      <c r="I159" s="274">
        <v>5</v>
      </c>
      <c r="J159" s="235"/>
      <c r="K159" s="388">
        <f t="shared" si="19"/>
        <v>54.61</v>
      </c>
      <c r="L159" s="388"/>
      <c r="M159" s="488">
        <f t="shared" si="16"/>
        <v>54.61</v>
      </c>
      <c r="N159" s="382"/>
    </row>
    <row r="160" spans="1:14" ht="25.5" x14ac:dyDescent="0.25">
      <c r="A160" s="259" t="s">
        <v>728</v>
      </c>
      <c r="B160" s="229" t="s">
        <v>729</v>
      </c>
      <c r="C160" s="266" t="s">
        <v>152</v>
      </c>
      <c r="D160" s="371">
        <v>5</v>
      </c>
      <c r="E160" s="384">
        <v>12.287000000000001</v>
      </c>
      <c r="F160" s="235">
        <f t="shared" si="15"/>
        <v>61.435000000000002</v>
      </c>
      <c r="G160" s="247">
        <v>5</v>
      </c>
      <c r="H160" s="267"/>
      <c r="I160" s="274">
        <v>5</v>
      </c>
      <c r="J160" s="235"/>
      <c r="K160" s="388">
        <f t="shared" si="19"/>
        <v>61.435000000000002</v>
      </c>
      <c r="L160" s="388"/>
      <c r="M160" s="488">
        <f t="shared" si="16"/>
        <v>61.435000000000002</v>
      </c>
      <c r="N160" s="382"/>
    </row>
    <row r="161" spans="1:14" ht="25.5" x14ac:dyDescent="0.25">
      <c r="A161" s="259" t="s">
        <v>730</v>
      </c>
      <c r="B161" s="229" t="s">
        <v>731</v>
      </c>
      <c r="C161" s="266" t="s">
        <v>152</v>
      </c>
      <c r="D161" s="371">
        <v>8</v>
      </c>
      <c r="E161" s="384">
        <v>9.3529999999999998</v>
      </c>
      <c r="F161" s="235">
        <f t="shared" si="15"/>
        <v>74.823999999999998</v>
      </c>
      <c r="G161" s="247">
        <v>8</v>
      </c>
      <c r="H161" s="267"/>
      <c r="I161" s="274">
        <v>8</v>
      </c>
      <c r="J161" s="235"/>
      <c r="K161" s="388">
        <f t="shared" si="19"/>
        <v>74.823999999999998</v>
      </c>
      <c r="L161" s="388"/>
      <c r="M161" s="488">
        <f t="shared" si="16"/>
        <v>74.823999999999998</v>
      </c>
      <c r="N161" s="382"/>
    </row>
    <row r="162" spans="1:14" ht="25.5" x14ac:dyDescent="0.25">
      <c r="A162" s="259" t="s">
        <v>732</v>
      </c>
      <c r="B162" s="229" t="s">
        <v>733</v>
      </c>
      <c r="C162" s="266" t="s">
        <v>152</v>
      </c>
      <c r="D162" s="371">
        <v>3</v>
      </c>
      <c r="E162" s="384">
        <v>14.75</v>
      </c>
      <c r="F162" s="235">
        <f t="shared" si="15"/>
        <v>44.25</v>
      </c>
      <c r="G162" s="247">
        <v>3</v>
      </c>
      <c r="H162" s="267"/>
      <c r="I162" s="274">
        <v>3</v>
      </c>
      <c r="J162" s="235"/>
      <c r="K162" s="388">
        <f t="shared" si="19"/>
        <v>44.25</v>
      </c>
      <c r="L162" s="388"/>
      <c r="M162" s="488">
        <f t="shared" si="16"/>
        <v>44.25</v>
      </c>
      <c r="N162" s="382"/>
    </row>
    <row r="163" spans="1:14" ht="38.25" x14ac:dyDescent="0.25">
      <c r="A163" s="259" t="s">
        <v>734</v>
      </c>
      <c r="B163" s="229" t="s">
        <v>735</v>
      </c>
      <c r="C163" s="266" t="s">
        <v>152</v>
      </c>
      <c r="D163" s="371">
        <v>3</v>
      </c>
      <c r="E163" s="384">
        <v>23.532</v>
      </c>
      <c r="F163" s="235">
        <f t="shared" si="15"/>
        <v>70.596000000000004</v>
      </c>
      <c r="G163" s="247">
        <v>3</v>
      </c>
      <c r="H163" s="267"/>
      <c r="I163" s="274">
        <v>3</v>
      </c>
      <c r="J163" s="235"/>
      <c r="K163" s="388">
        <f t="shared" si="19"/>
        <v>70.596000000000004</v>
      </c>
      <c r="L163" s="388"/>
      <c r="M163" s="488">
        <f t="shared" si="16"/>
        <v>70.596000000000004</v>
      </c>
      <c r="N163" s="382"/>
    </row>
    <row r="164" spans="1:14" ht="38.25" x14ac:dyDescent="0.25">
      <c r="A164" s="259" t="s">
        <v>736</v>
      </c>
      <c r="B164" s="229" t="s">
        <v>737</v>
      </c>
      <c r="C164" s="266" t="s">
        <v>152</v>
      </c>
      <c r="D164" s="371">
        <v>3</v>
      </c>
      <c r="E164" s="384">
        <v>17.350000000000001</v>
      </c>
      <c r="F164" s="235">
        <f t="shared" si="15"/>
        <v>52.050000000000004</v>
      </c>
      <c r="G164" s="247">
        <v>3</v>
      </c>
      <c r="H164" s="267"/>
      <c r="I164" s="274">
        <v>3</v>
      </c>
      <c r="J164" s="235"/>
      <c r="K164" s="388">
        <f t="shared" ref="K164:K171" si="20">E164*G164</f>
        <v>52.050000000000004</v>
      </c>
      <c r="L164" s="388"/>
      <c r="M164" s="488">
        <f t="shared" si="16"/>
        <v>52.050000000000004</v>
      </c>
      <c r="N164" s="382"/>
    </row>
    <row r="165" spans="1:14" ht="38.25" x14ac:dyDescent="0.25">
      <c r="A165" s="259" t="s">
        <v>738</v>
      </c>
      <c r="B165" s="229" t="s">
        <v>739</v>
      </c>
      <c r="C165" s="266" t="s">
        <v>152</v>
      </c>
      <c r="D165" s="371">
        <v>5</v>
      </c>
      <c r="E165" s="384">
        <v>19.242000000000001</v>
      </c>
      <c r="F165" s="235">
        <f t="shared" si="15"/>
        <v>96.210000000000008</v>
      </c>
      <c r="G165" s="247">
        <v>5</v>
      </c>
      <c r="H165" s="267"/>
      <c r="I165" s="274">
        <v>5</v>
      </c>
      <c r="J165" s="235"/>
      <c r="K165" s="388">
        <f t="shared" si="20"/>
        <v>96.210000000000008</v>
      </c>
      <c r="L165" s="388"/>
      <c r="M165" s="488">
        <f t="shared" si="16"/>
        <v>96.210000000000008</v>
      </c>
      <c r="N165" s="382"/>
    </row>
    <row r="166" spans="1:14" ht="38.25" x14ac:dyDescent="0.25">
      <c r="A166" s="259" t="s">
        <v>740</v>
      </c>
      <c r="B166" s="229" t="s">
        <v>741</v>
      </c>
      <c r="C166" s="266" t="s">
        <v>189</v>
      </c>
      <c r="D166" s="371">
        <v>68.069999999999993</v>
      </c>
      <c r="E166" s="384">
        <v>17.286300000000001</v>
      </c>
      <c r="F166" s="235">
        <f t="shared" si="15"/>
        <v>1176.678441</v>
      </c>
      <c r="G166" s="247">
        <v>68.069999999999993</v>
      </c>
      <c r="H166" s="267"/>
      <c r="I166" s="274">
        <v>68.069999999999993</v>
      </c>
      <c r="J166" s="235"/>
      <c r="K166" s="388">
        <f t="shared" si="20"/>
        <v>1176.678441</v>
      </c>
      <c r="L166" s="388"/>
      <c r="M166" s="488">
        <f t="shared" si="16"/>
        <v>1176.678441</v>
      </c>
      <c r="N166" s="382"/>
    </row>
    <row r="167" spans="1:14" ht="38.25" x14ac:dyDescent="0.25">
      <c r="A167" s="259" t="s">
        <v>742</v>
      </c>
      <c r="B167" s="229" t="s">
        <v>743</v>
      </c>
      <c r="C167" s="266" t="s">
        <v>152</v>
      </c>
      <c r="D167" s="371">
        <v>1</v>
      </c>
      <c r="E167" s="384">
        <v>30.84</v>
      </c>
      <c r="F167" s="235">
        <f t="shared" si="15"/>
        <v>30.84</v>
      </c>
      <c r="G167" s="247">
        <v>1</v>
      </c>
      <c r="H167" s="267"/>
      <c r="I167" s="274">
        <v>1</v>
      </c>
      <c r="J167" s="235"/>
      <c r="K167" s="388">
        <f t="shared" si="20"/>
        <v>30.84</v>
      </c>
      <c r="L167" s="388"/>
      <c r="M167" s="488">
        <f t="shared" si="16"/>
        <v>30.84</v>
      </c>
      <c r="N167" s="252"/>
    </row>
    <row r="168" spans="1:14" ht="38.25" x14ac:dyDescent="0.25">
      <c r="A168" s="259" t="s">
        <v>744</v>
      </c>
      <c r="B168" s="229" t="s">
        <v>745</v>
      </c>
      <c r="C168" s="266" t="s">
        <v>189</v>
      </c>
      <c r="D168" s="371">
        <v>19.43</v>
      </c>
      <c r="E168" s="384">
        <v>25.994</v>
      </c>
      <c r="F168" s="235">
        <f t="shared" si="15"/>
        <v>505.06342000000001</v>
      </c>
      <c r="G168" s="247">
        <v>19.43</v>
      </c>
      <c r="H168" s="267"/>
      <c r="I168" s="274">
        <v>19.43</v>
      </c>
      <c r="J168" s="235"/>
      <c r="K168" s="388">
        <f t="shared" si="20"/>
        <v>505.06342000000001</v>
      </c>
      <c r="L168" s="388"/>
      <c r="M168" s="488">
        <f t="shared" si="16"/>
        <v>505.06342000000001</v>
      </c>
      <c r="N168" s="252"/>
    </row>
    <row r="169" spans="1:14" ht="25.5" x14ac:dyDescent="0.25">
      <c r="A169" s="259" t="s">
        <v>746</v>
      </c>
      <c r="B169" s="229" t="s">
        <v>747</v>
      </c>
      <c r="C169" s="266" t="s">
        <v>152</v>
      </c>
      <c r="D169" s="371">
        <v>5</v>
      </c>
      <c r="E169" s="384">
        <v>32.54</v>
      </c>
      <c r="F169" s="235">
        <f t="shared" si="15"/>
        <v>162.69999999999999</v>
      </c>
      <c r="G169" s="247">
        <v>5</v>
      </c>
      <c r="H169" s="267"/>
      <c r="I169" s="274">
        <v>5</v>
      </c>
      <c r="J169" s="235"/>
      <c r="K169" s="388">
        <f t="shared" si="20"/>
        <v>162.69999999999999</v>
      </c>
      <c r="L169" s="388"/>
      <c r="M169" s="488">
        <f t="shared" si="16"/>
        <v>162.69999999999999</v>
      </c>
      <c r="N169" s="252"/>
    </row>
    <row r="170" spans="1:14" ht="25.5" x14ac:dyDescent="0.25">
      <c r="A170" s="259" t="s">
        <v>748</v>
      </c>
      <c r="B170" s="229" t="s">
        <v>749</v>
      </c>
      <c r="C170" s="266" t="s">
        <v>189</v>
      </c>
      <c r="D170" s="371">
        <v>6.31</v>
      </c>
      <c r="E170" s="384">
        <v>17.48</v>
      </c>
      <c r="F170" s="235">
        <f t="shared" si="15"/>
        <v>110.2988</v>
      </c>
      <c r="G170" s="247">
        <v>6.31</v>
      </c>
      <c r="H170" s="267"/>
      <c r="I170" s="274">
        <v>6.31</v>
      </c>
      <c r="J170" s="235"/>
      <c r="K170" s="388">
        <f t="shared" si="20"/>
        <v>110.2988</v>
      </c>
      <c r="L170" s="388"/>
      <c r="M170" s="488">
        <f t="shared" si="16"/>
        <v>110.2988</v>
      </c>
      <c r="N170" s="252"/>
    </row>
    <row r="171" spans="1:14" ht="25.5" x14ac:dyDescent="0.25">
      <c r="A171" s="259" t="s">
        <v>750</v>
      </c>
      <c r="B171" s="229" t="s">
        <v>751</v>
      </c>
      <c r="C171" s="266" t="s">
        <v>189</v>
      </c>
      <c r="D171" s="371">
        <v>53.96</v>
      </c>
      <c r="E171" s="384">
        <v>20.070699999999999</v>
      </c>
      <c r="F171" s="235">
        <f t="shared" si="15"/>
        <v>1083.0149719999999</v>
      </c>
      <c r="G171" s="247">
        <v>53.96</v>
      </c>
      <c r="H171" s="267"/>
      <c r="I171" s="274">
        <f>50+3.96</f>
        <v>53.96</v>
      </c>
      <c r="J171" s="235"/>
      <c r="K171" s="388">
        <f t="shared" si="20"/>
        <v>1083.0149719999999</v>
      </c>
      <c r="L171" s="388"/>
      <c r="M171" s="488">
        <f t="shared" si="16"/>
        <v>1083.0149719999999</v>
      </c>
      <c r="N171" s="252"/>
    </row>
    <row r="172" spans="1:14" ht="25.5" x14ac:dyDescent="0.25">
      <c r="A172" s="259" t="s">
        <v>752</v>
      </c>
      <c r="B172" s="229" t="s">
        <v>753</v>
      </c>
      <c r="C172" s="266" t="s">
        <v>152</v>
      </c>
      <c r="D172" s="371">
        <v>3</v>
      </c>
      <c r="E172" s="384">
        <v>93.7</v>
      </c>
      <c r="F172" s="235">
        <f t="shared" si="15"/>
        <v>281.10000000000002</v>
      </c>
      <c r="G172" s="247"/>
      <c r="H172" s="267"/>
      <c r="I172" s="236"/>
      <c r="J172" s="235"/>
      <c r="K172" s="234"/>
      <c r="L172" s="388"/>
      <c r="M172" s="388"/>
      <c r="N172" s="252"/>
    </row>
    <row r="173" spans="1:14" ht="25.5" x14ac:dyDescent="0.25">
      <c r="A173" s="259" t="s">
        <v>754</v>
      </c>
      <c r="B173" s="229" t="s">
        <v>755</v>
      </c>
      <c r="C173" s="266" t="s">
        <v>152</v>
      </c>
      <c r="D173" s="371">
        <v>3</v>
      </c>
      <c r="E173" s="384">
        <v>33.380000000000003</v>
      </c>
      <c r="F173" s="235">
        <f t="shared" si="15"/>
        <v>100.14000000000001</v>
      </c>
      <c r="G173" s="247"/>
      <c r="H173" s="267"/>
      <c r="I173" s="236"/>
      <c r="J173" s="235"/>
      <c r="K173" s="234"/>
      <c r="L173" s="234"/>
      <c r="M173" s="234"/>
      <c r="N173" s="252"/>
    </row>
    <row r="174" spans="1:14" ht="38.25" x14ac:dyDescent="0.25">
      <c r="A174" s="259" t="s">
        <v>756</v>
      </c>
      <c r="B174" s="229" t="s">
        <v>757</v>
      </c>
      <c r="C174" s="266" t="s">
        <v>152</v>
      </c>
      <c r="D174" s="371">
        <v>13</v>
      </c>
      <c r="E174" s="384">
        <v>97.59</v>
      </c>
      <c r="F174" s="235">
        <f t="shared" si="15"/>
        <v>1268.67</v>
      </c>
      <c r="G174" s="247"/>
      <c r="H174" s="267"/>
      <c r="I174" s="236"/>
      <c r="J174" s="235"/>
      <c r="K174" s="234"/>
      <c r="L174" s="234"/>
      <c r="M174" s="234"/>
      <c r="N174" s="252"/>
    </row>
    <row r="175" spans="1:14" s="472" customFormat="1" ht="63.75" x14ac:dyDescent="0.25">
      <c r="A175" s="259" t="s">
        <v>758</v>
      </c>
      <c r="B175" s="229" t="s">
        <v>759</v>
      </c>
      <c r="C175" s="266" t="s">
        <v>152</v>
      </c>
      <c r="D175" s="371">
        <v>7</v>
      </c>
      <c r="E175" s="384">
        <v>119.113</v>
      </c>
      <c r="F175" s="235">
        <f t="shared" si="15"/>
        <v>833.79099999999994</v>
      </c>
      <c r="G175" s="467"/>
      <c r="H175" s="468"/>
      <c r="I175" s="468"/>
      <c r="J175" s="470"/>
      <c r="K175" s="471"/>
      <c r="L175" s="471"/>
      <c r="M175" s="471"/>
      <c r="N175" s="382"/>
    </row>
    <row r="176" spans="1:14" s="472" customFormat="1" ht="63.75" x14ac:dyDescent="0.25">
      <c r="A176" s="259" t="s">
        <v>760</v>
      </c>
      <c r="B176" s="229" t="s">
        <v>761</v>
      </c>
      <c r="C176" s="266" t="s">
        <v>152</v>
      </c>
      <c r="D176" s="371">
        <v>2</v>
      </c>
      <c r="E176" s="384">
        <v>109.286</v>
      </c>
      <c r="F176" s="235">
        <f t="shared" si="15"/>
        <v>218.572</v>
      </c>
      <c r="G176" s="467"/>
      <c r="H176" s="468"/>
      <c r="I176" s="468"/>
      <c r="J176" s="470"/>
      <c r="K176" s="471"/>
      <c r="L176" s="471"/>
      <c r="M176" s="471"/>
      <c r="N176" s="382"/>
    </row>
    <row r="177" spans="1:14" ht="8.1" customHeight="1" x14ac:dyDescent="0.25">
      <c r="A177" s="510"/>
      <c r="B177" s="510"/>
      <c r="C177" s="510"/>
      <c r="D177" s="510"/>
      <c r="E177" s="510"/>
      <c r="F177" s="510"/>
      <c r="G177" s="510"/>
      <c r="H177" s="510"/>
      <c r="I177" s="510"/>
      <c r="J177" s="510"/>
      <c r="K177" s="510"/>
      <c r="L177" s="510"/>
      <c r="M177" s="510"/>
      <c r="N177" s="252"/>
    </row>
    <row r="178" spans="1:14" s="411" customFormat="1" ht="18" customHeight="1" x14ac:dyDescent="0.25">
      <c r="A178" s="402" t="s">
        <v>762</v>
      </c>
      <c r="B178" s="504" t="s">
        <v>763</v>
      </c>
      <c r="C178" s="505"/>
      <c r="D178" s="505"/>
      <c r="E178" s="506"/>
      <c r="F178" s="403">
        <f>SUM(F179,F194,F200,F210)-0.01</f>
        <v>34724.556513999996</v>
      </c>
      <c r="G178" s="404"/>
      <c r="H178" s="454"/>
      <c r="I178" s="405"/>
      <c r="J178" s="420"/>
      <c r="K178" s="417">
        <f>K179+K194+L200+L210</f>
        <v>13157.365524000001</v>
      </c>
      <c r="L178" s="417"/>
      <c r="M178" s="415">
        <f>M179+M194+M200+M210</f>
        <v>13157.365524000001</v>
      </c>
      <c r="N178" s="437"/>
    </row>
    <row r="179" spans="1:14" s="306" customFormat="1" ht="18" customHeight="1" x14ac:dyDescent="0.25">
      <c r="A179" s="366" t="s">
        <v>195</v>
      </c>
      <c r="B179" s="507" t="s">
        <v>764</v>
      </c>
      <c r="C179" s="508"/>
      <c r="D179" s="508"/>
      <c r="E179" s="509"/>
      <c r="F179" s="312">
        <f>SUM(F180:F193)-0.01</f>
        <v>10189.055524000001</v>
      </c>
      <c r="G179" s="301"/>
      <c r="H179" s="463"/>
      <c r="I179" s="302"/>
      <c r="J179" s="313"/>
      <c r="K179" s="305">
        <f>SUM(K180:K193)</f>
        <v>10189.065524000001</v>
      </c>
      <c r="L179" s="305"/>
      <c r="M179" s="501">
        <f>SUM(M180:M193)</f>
        <v>10189.065524000001</v>
      </c>
      <c r="N179" s="377"/>
    </row>
    <row r="180" spans="1:14" ht="38.25" x14ac:dyDescent="0.25">
      <c r="A180" s="259" t="s">
        <v>765</v>
      </c>
      <c r="B180" s="229" t="s">
        <v>766</v>
      </c>
      <c r="C180" s="259" t="s">
        <v>152</v>
      </c>
      <c r="D180" s="371">
        <v>36</v>
      </c>
      <c r="E180" s="384">
        <v>9.718</v>
      </c>
      <c r="F180" s="235">
        <f t="shared" ref="F180:F213" si="21">E180*D180</f>
        <v>349.84800000000001</v>
      </c>
      <c r="G180" s="247">
        <v>36</v>
      </c>
      <c r="H180" s="267"/>
      <c r="I180" s="267">
        <v>36</v>
      </c>
      <c r="J180" s="235"/>
      <c r="K180" s="234">
        <f>E180*G180</f>
        <v>349.84800000000001</v>
      </c>
      <c r="L180" s="234"/>
      <c r="M180" s="234">
        <f>E180*I180</f>
        <v>349.84800000000001</v>
      </c>
      <c r="N180" s="252"/>
    </row>
    <row r="181" spans="1:14" ht="25.5" x14ac:dyDescent="0.25">
      <c r="A181" s="259" t="s">
        <v>767</v>
      </c>
      <c r="B181" s="229" t="s">
        <v>768</v>
      </c>
      <c r="C181" s="259" t="s">
        <v>152</v>
      </c>
      <c r="D181" s="371">
        <v>36</v>
      </c>
      <c r="E181" s="384">
        <v>12.2445</v>
      </c>
      <c r="F181" s="235">
        <f t="shared" si="21"/>
        <v>440.80200000000002</v>
      </c>
      <c r="G181" s="247">
        <v>36</v>
      </c>
      <c r="H181" s="267"/>
      <c r="I181" s="267">
        <v>36</v>
      </c>
      <c r="J181" s="235"/>
      <c r="K181" s="234">
        <f t="shared" ref="K181:K191" si="22">E181*G181</f>
        <v>440.80200000000002</v>
      </c>
      <c r="L181" s="234"/>
      <c r="M181" s="234">
        <f t="shared" ref="M181:M193" si="23">E181*I181</f>
        <v>440.80200000000002</v>
      </c>
      <c r="N181" s="252"/>
    </row>
    <row r="182" spans="1:14" ht="38.25" x14ac:dyDescent="0.25">
      <c r="A182" s="259" t="s">
        <v>769</v>
      </c>
      <c r="B182" s="229" t="s">
        <v>770</v>
      </c>
      <c r="C182" s="259" t="s">
        <v>152</v>
      </c>
      <c r="D182" s="371">
        <v>13</v>
      </c>
      <c r="E182" s="384">
        <v>5.7729999999999997</v>
      </c>
      <c r="F182" s="235">
        <f t="shared" si="21"/>
        <v>75.048999999999992</v>
      </c>
      <c r="G182" s="247">
        <v>13</v>
      </c>
      <c r="H182" s="267"/>
      <c r="I182" s="267">
        <v>13</v>
      </c>
      <c r="J182" s="235"/>
      <c r="K182" s="234">
        <f t="shared" si="22"/>
        <v>75.048999999999992</v>
      </c>
      <c r="L182" s="234"/>
      <c r="M182" s="234">
        <f t="shared" si="23"/>
        <v>75.048999999999992</v>
      </c>
      <c r="N182" s="252"/>
    </row>
    <row r="183" spans="1:14" ht="38.25" x14ac:dyDescent="0.25">
      <c r="A183" s="259" t="s">
        <v>771</v>
      </c>
      <c r="B183" s="229" t="s">
        <v>772</v>
      </c>
      <c r="C183" s="259" t="s">
        <v>152</v>
      </c>
      <c r="D183" s="371">
        <v>17</v>
      </c>
      <c r="E183" s="384">
        <v>10.0945</v>
      </c>
      <c r="F183" s="235">
        <f t="shared" si="21"/>
        <v>171.60650000000001</v>
      </c>
      <c r="G183" s="247">
        <v>17</v>
      </c>
      <c r="H183" s="267"/>
      <c r="I183" s="267">
        <f>7+10</f>
        <v>17</v>
      </c>
      <c r="J183" s="235"/>
      <c r="K183" s="234">
        <f t="shared" si="22"/>
        <v>171.60650000000001</v>
      </c>
      <c r="L183" s="234"/>
      <c r="M183" s="234">
        <f t="shared" si="23"/>
        <v>171.60650000000001</v>
      </c>
      <c r="N183" s="252"/>
    </row>
    <row r="184" spans="1:14" ht="38.25" x14ac:dyDescent="0.25">
      <c r="A184" s="259" t="s">
        <v>773</v>
      </c>
      <c r="B184" s="229" t="s">
        <v>774</v>
      </c>
      <c r="C184" s="259" t="s">
        <v>152</v>
      </c>
      <c r="D184" s="371">
        <v>3</v>
      </c>
      <c r="E184" s="384">
        <v>22.027999999999999</v>
      </c>
      <c r="F184" s="235">
        <f t="shared" si="21"/>
        <v>66.084000000000003</v>
      </c>
      <c r="G184" s="247">
        <v>3</v>
      </c>
      <c r="H184" s="267"/>
      <c r="I184" s="267">
        <f>1+2</f>
        <v>3</v>
      </c>
      <c r="J184" s="235"/>
      <c r="K184" s="234">
        <f t="shared" si="22"/>
        <v>66.084000000000003</v>
      </c>
      <c r="L184" s="234"/>
      <c r="M184" s="234">
        <f t="shared" si="23"/>
        <v>66.084000000000003</v>
      </c>
      <c r="N184" s="252"/>
    </row>
    <row r="185" spans="1:14" ht="38.25" x14ac:dyDescent="0.25">
      <c r="A185" s="259" t="s">
        <v>775</v>
      </c>
      <c r="B185" s="229" t="s">
        <v>776</v>
      </c>
      <c r="C185" s="259" t="s">
        <v>152</v>
      </c>
      <c r="D185" s="371">
        <v>7</v>
      </c>
      <c r="E185" s="384">
        <v>22.091999999999999</v>
      </c>
      <c r="F185" s="235">
        <f t="shared" si="21"/>
        <v>154.64400000000001</v>
      </c>
      <c r="G185" s="247">
        <v>7</v>
      </c>
      <c r="H185" s="267"/>
      <c r="I185" s="267">
        <v>7</v>
      </c>
      <c r="J185" s="235"/>
      <c r="K185" s="234">
        <f t="shared" si="22"/>
        <v>154.64400000000001</v>
      </c>
      <c r="L185" s="234"/>
      <c r="M185" s="234">
        <f t="shared" si="23"/>
        <v>154.64400000000001</v>
      </c>
      <c r="N185" s="252"/>
    </row>
    <row r="186" spans="1:14" ht="38.25" x14ac:dyDescent="0.25">
      <c r="A186" s="259" t="s">
        <v>777</v>
      </c>
      <c r="B186" s="229" t="s">
        <v>778</v>
      </c>
      <c r="C186" s="259" t="s">
        <v>152</v>
      </c>
      <c r="D186" s="371">
        <v>2</v>
      </c>
      <c r="E186" s="384">
        <v>9.3529999999999998</v>
      </c>
      <c r="F186" s="235">
        <f t="shared" si="21"/>
        <v>18.706</v>
      </c>
      <c r="G186" s="247">
        <v>2</v>
      </c>
      <c r="H186" s="267"/>
      <c r="I186" s="267">
        <v>2</v>
      </c>
      <c r="J186" s="235"/>
      <c r="K186" s="234">
        <f t="shared" si="22"/>
        <v>18.706</v>
      </c>
      <c r="L186" s="234"/>
      <c r="M186" s="234">
        <f t="shared" si="23"/>
        <v>18.706</v>
      </c>
      <c r="N186" s="252"/>
    </row>
    <row r="187" spans="1:14" ht="25.5" x14ac:dyDescent="0.25">
      <c r="A187" s="259" t="s">
        <v>779</v>
      </c>
      <c r="B187" s="229" t="s">
        <v>780</v>
      </c>
      <c r="C187" s="259" t="s">
        <v>152</v>
      </c>
      <c r="D187" s="371">
        <v>12</v>
      </c>
      <c r="E187" s="384">
        <v>56.987000000000002</v>
      </c>
      <c r="F187" s="235">
        <f t="shared" si="21"/>
        <v>683.84400000000005</v>
      </c>
      <c r="G187" s="247">
        <v>12</v>
      </c>
      <c r="H187" s="267"/>
      <c r="I187" s="267">
        <v>12</v>
      </c>
      <c r="J187" s="235"/>
      <c r="K187" s="234">
        <f t="shared" si="22"/>
        <v>683.84400000000005</v>
      </c>
      <c r="L187" s="234"/>
      <c r="M187" s="234">
        <f t="shared" si="23"/>
        <v>683.84400000000005</v>
      </c>
      <c r="N187" s="252"/>
    </row>
    <row r="188" spans="1:14" ht="51" x14ac:dyDescent="0.25">
      <c r="A188" s="259" t="s">
        <v>781</v>
      </c>
      <c r="B188" s="229" t="s">
        <v>782</v>
      </c>
      <c r="C188" s="259" t="s">
        <v>152</v>
      </c>
      <c r="D188" s="371">
        <v>5</v>
      </c>
      <c r="E188" s="384">
        <v>20.425999999999998</v>
      </c>
      <c r="F188" s="235">
        <f t="shared" si="21"/>
        <v>102.13</v>
      </c>
      <c r="G188" s="247">
        <v>5</v>
      </c>
      <c r="H188" s="267"/>
      <c r="I188" s="267">
        <v>5</v>
      </c>
      <c r="J188" s="235"/>
      <c r="K188" s="234">
        <f t="shared" si="22"/>
        <v>102.13</v>
      </c>
      <c r="L188" s="234"/>
      <c r="M188" s="234">
        <f t="shared" si="23"/>
        <v>102.13</v>
      </c>
      <c r="N188" s="252"/>
    </row>
    <row r="189" spans="1:14" ht="38.25" x14ac:dyDescent="0.25">
      <c r="A189" s="259" t="s">
        <v>783</v>
      </c>
      <c r="B189" s="229" t="s">
        <v>784</v>
      </c>
      <c r="C189" s="259" t="s">
        <v>189</v>
      </c>
      <c r="D189" s="371">
        <v>55.81</v>
      </c>
      <c r="E189" s="384">
        <v>16.609000000000002</v>
      </c>
      <c r="F189" s="235">
        <f t="shared" si="21"/>
        <v>926.94829000000016</v>
      </c>
      <c r="G189" s="247">
        <v>55.81</v>
      </c>
      <c r="H189" s="267"/>
      <c r="I189" s="267">
        <v>55.81</v>
      </c>
      <c r="J189" s="235"/>
      <c r="K189" s="234">
        <f t="shared" si="22"/>
        <v>926.94829000000016</v>
      </c>
      <c r="L189" s="234"/>
      <c r="M189" s="234">
        <f t="shared" si="23"/>
        <v>926.94829000000016</v>
      </c>
      <c r="N189" s="252"/>
    </row>
    <row r="190" spans="1:14" ht="25.5" x14ac:dyDescent="0.25">
      <c r="A190" s="259" t="s">
        <v>785</v>
      </c>
      <c r="B190" s="229" t="s">
        <v>786</v>
      </c>
      <c r="C190" s="259" t="s">
        <v>152</v>
      </c>
      <c r="D190" s="371">
        <v>10</v>
      </c>
      <c r="E190" s="384">
        <v>22.338999999999999</v>
      </c>
      <c r="F190" s="235">
        <f t="shared" si="21"/>
        <v>223.39</v>
      </c>
      <c r="G190" s="247">
        <v>10</v>
      </c>
      <c r="H190" s="267"/>
      <c r="I190" s="267">
        <v>10</v>
      </c>
      <c r="J190" s="235"/>
      <c r="K190" s="234">
        <f t="shared" si="22"/>
        <v>223.39</v>
      </c>
      <c r="L190" s="234"/>
      <c r="M190" s="234">
        <f t="shared" si="23"/>
        <v>223.39</v>
      </c>
      <c r="N190" s="252"/>
    </row>
    <row r="191" spans="1:14" ht="38.25" x14ac:dyDescent="0.25">
      <c r="A191" s="259" t="s">
        <v>787</v>
      </c>
      <c r="B191" s="229" t="s">
        <v>788</v>
      </c>
      <c r="C191" s="259" t="s">
        <v>189</v>
      </c>
      <c r="D191" s="371">
        <v>56.63</v>
      </c>
      <c r="E191" s="384">
        <v>25.316800000000001</v>
      </c>
      <c r="F191" s="235">
        <f t="shared" si="21"/>
        <v>1433.690384</v>
      </c>
      <c r="G191" s="247">
        <v>56.63</v>
      </c>
      <c r="H191" s="267"/>
      <c r="I191" s="267">
        <v>56.63</v>
      </c>
      <c r="J191" s="235"/>
      <c r="K191" s="234">
        <f t="shared" si="22"/>
        <v>1433.690384</v>
      </c>
      <c r="L191" s="234"/>
      <c r="M191" s="234">
        <f t="shared" si="23"/>
        <v>1433.690384</v>
      </c>
      <c r="N191" s="252"/>
    </row>
    <row r="192" spans="1:14" ht="38.25" x14ac:dyDescent="0.25">
      <c r="A192" s="259" t="s">
        <v>789</v>
      </c>
      <c r="B192" s="229" t="s">
        <v>790</v>
      </c>
      <c r="C192" s="259" t="s">
        <v>189</v>
      </c>
      <c r="D192" s="371">
        <v>1.7</v>
      </c>
      <c r="E192" s="384">
        <v>38.14</v>
      </c>
      <c r="F192" s="235">
        <f t="shared" si="21"/>
        <v>64.837999999999994</v>
      </c>
      <c r="G192" s="247">
        <v>1.7</v>
      </c>
      <c r="H192" s="267"/>
      <c r="I192" s="267">
        <v>1.7</v>
      </c>
      <c r="J192" s="235"/>
      <c r="K192" s="234">
        <f>E192*G192</f>
        <v>64.837999999999994</v>
      </c>
      <c r="L192" s="234"/>
      <c r="M192" s="234">
        <f t="shared" si="23"/>
        <v>64.837999999999994</v>
      </c>
      <c r="N192" s="252"/>
    </row>
    <row r="193" spans="1:14" ht="38.25" x14ac:dyDescent="0.25">
      <c r="A193" s="259" t="s">
        <v>791</v>
      </c>
      <c r="B193" s="229" t="s">
        <v>792</v>
      </c>
      <c r="C193" s="259" t="s">
        <v>189</v>
      </c>
      <c r="D193" s="371">
        <v>114.5</v>
      </c>
      <c r="E193" s="384">
        <v>47.838299999999997</v>
      </c>
      <c r="F193" s="235">
        <f t="shared" si="21"/>
        <v>5477.4853499999999</v>
      </c>
      <c r="G193" s="247">
        <v>114.5</v>
      </c>
      <c r="H193" s="267"/>
      <c r="I193" s="267">
        <f>75+39.5</f>
        <v>114.5</v>
      </c>
      <c r="J193" s="235"/>
      <c r="K193" s="234">
        <f>E193*G193</f>
        <v>5477.4853499999999</v>
      </c>
      <c r="L193" s="234"/>
      <c r="M193" s="234">
        <f t="shared" si="23"/>
        <v>5477.4853499999999</v>
      </c>
      <c r="N193" s="252"/>
    </row>
    <row r="194" spans="1:14" s="306" customFormat="1" ht="18" x14ac:dyDescent="0.25">
      <c r="A194" s="366" t="s">
        <v>198</v>
      </c>
      <c r="B194" s="507" t="s">
        <v>793</v>
      </c>
      <c r="C194" s="508"/>
      <c r="D194" s="508"/>
      <c r="E194" s="509"/>
      <c r="F194" s="300">
        <f>SUM(F195:F199)</f>
        <v>4291.3077999999996</v>
      </c>
      <c r="G194" s="301"/>
      <c r="H194" s="462"/>
      <c r="I194" s="302"/>
      <c r="J194" s="303"/>
      <c r="K194" s="305">
        <f>SUM(K195:K199)</f>
        <v>2968.2999999999997</v>
      </c>
      <c r="L194" s="305"/>
      <c r="M194" s="501">
        <f>SUM(M195:M199)</f>
        <v>2968.2999999999997</v>
      </c>
      <c r="N194" s="281"/>
    </row>
    <row r="195" spans="1:14" ht="25.5" x14ac:dyDescent="0.25">
      <c r="A195" s="259" t="s">
        <v>794</v>
      </c>
      <c r="B195" s="229" t="s">
        <v>795</v>
      </c>
      <c r="C195" s="259" t="s">
        <v>152</v>
      </c>
      <c r="D195" s="371">
        <v>13</v>
      </c>
      <c r="E195" s="384">
        <v>191.83699999999999</v>
      </c>
      <c r="F195" s="235">
        <f t="shared" si="21"/>
        <v>2493.8809999999999</v>
      </c>
      <c r="G195" s="247">
        <v>10</v>
      </c>
      <c r="H195" s="267"/>
      <c r="I195" s="267">
        <v>10</v>
      </c>
      <c r="J195" s="235"/>
      <c r="K195" s="234">
        <f>E195*G195</f>
        <v>1918.37</v>
      </c>
      <c r="L195" s="234"/>
      <c r="M195" s="234">
        <f>E195*I195</f>
        <v>1918.37</v>
      </c>
      <c r="N195" s="252"/>
    </row>
    <row r="196" spans="1:14" ht="38.25" x14ac:dyDescent="0.25">
      <c r="A196" s="259" t="s">
        <v>796</v>
      </c>
      <c r="B196" s="229" t="s">
        <v>797</v>
      </c>
      <c r="C196" s="259" t="s">
        <v>152</v>
      </c>
      <c r="D196" s="371">
        <v>24</v>
      </c>
      <c r="E196" s="384">
        <v>29.09</v>
      </c>
      <c r="F196" s="235">
        <f t="shared" si="21"/>
        <v>698.16</v>
      </c>
      <c r="G196" s="247">
        <v>24</v>
      </c>
      <c r="H196" s="267"/>
      <c r="I196" s="267">
        <v>24</v>
      </c>
      <c r="J196" s="235"/>
      <c r="K196" s="234">
        <f t="shared" ref="K196:K197" si="24">E196*G196</f>
        <v>698.16</v>
      </c>
      <c r="L196" s="234"/>
      <c r="M196" s="234">
        <f t="shared" ref="M196:M197" si="25">E196*I196</f>
        <v>698.16</v>
      </c>
      <c r="N196" s="252"/>
    </row>
    <row r="197" spans="1:14" x14ac:dyDescent="0.25">
      <c r="A197" s="259" t="s">
        <v>798</v>
      </c>
      <c r="B197" s="229" t="s">
        <v>799</v>
      </c>
      <c r="C197" s="259" t="s">
        <v>152</v>
      </c>
      <c r="D197" s="371">
        <v>1</v>
      </c>
      <c r="E197" s="384">
        <v>351.77</v>
      </c>
      <c r="F197" s="235">
        <f t="shared" si="21"/>
        <v>351.77</v>
      </c>
      <c r="G197" s="247">
        <v>1</v>
      </c>
      <c r="H197" s="267"/>
      <c r="I197" s="267">
        <v>1</v>
      </c>
      <c r="J197" s="235"/>
      <c r="K197" s="234">
        <f t="shared" si="24"/>
        <v>351.77</v>
      </c>
      <c r="L197" s="234"/>
      <c r="M197" s="234">
        <f t="shared" si="25"/>
        <v>351.77</v>
      </c>
      <c r="N197" s="252"/>
    </row>
    <row r="198" spans="1:14" ht="25.5" x14ac:dyDescent="0.25">
      <c r="A198" s="259" t="s">
        <v>800</v>
      </c>
      <c r="B198" s="229" t="s">
        <v>801</v>
      </c>
      <c r="C198" s="259" t="s">
        <v>152</v>
      </c>
      <c r="D198" s="371">
        <v>31</v>
      </c>
      <c r="E198" s="384">
        <v>5.9233000000000002</v>
      </c>
      <c r="F198" s="235">
        <f t="shared" si="21"/>
        <v>183.6223</v>
      </c>
      <c r="G198" s="247"/>
      <c r="H198" s="267"/>
      <c r="I198" s="236"/>
      <c r="J198" s="235"/>
      <c r="K198" s="234"/>
      <c r="L198" s="234"/>
      <c r="M198" s="234"/>
      <c r="N198" s="252"/>
    </row>
    <row r="199" spans="1:14" ht="25.5" x14ac:dyDescent="0.25">
      <c r="A199" s="259" t="s">
        <v>802</v>
      </c>
      <c r="B199" s="229" t="s">
        <v>803</v>
      </c>
      <c r="C199" s="259" t="s">
        <v>152</v>
      </c>
      <c r="D199" s="371">
        <v>31</v>
      </c>
      <c r="E199" s="384">
        <v>18.189499999999999</v>
      </c>
      <c r="F199" s="235">
        <f t="shared" si="21"/>
        <v>563.87450000000001</v>
      </c>
      <c r="G199" s="247"/>
      <c r="H199" s="267"/>
      <c r="I199" s="236"/>
      <c r="J199" s="235"/>
      <c r="K199" s="234"/>
      <c r="L199" s="234"/>
      <c r="M199" s="234"/>
      <c r="N199" s="252"/>
    </row>
    <row r="200" spans="1:14" s="306" customFormat="1" ht="18" x14ac:dyDescent="0.25">
      <c r="A200" s="366" t="s">
        <v>201</v>
      </c>
      <c r="B200" s="507" t="s">
        <v>804</v>
      </c>
      <c r="C200" s="508"/>
      <c r="D200" s="508"/>
      <c r="E200" s="509"/>
      <c r="F200" s="300">
        <f>SUM(F201:F209)+0.01</f>
        <v>19332.728099999997</v>
      </c>
      <c r="G200" s="301"/>
      <c r="H200" s="462"/>
      <c r="I200" s="302"/>
      <c r="J200" s="303"/>
      <c r="K200" s="304"/>
      <c r="L200" s="304"/>
      <c r="M200" s="304"/>
      <c r="N200" s="281"/>
    </row>
    <row r="201" spans="1:14" ht="63.75" x14ac:dyDescent="0.25">
      <c r="A201" s="259" t="s">
        <v>805</v>
      </c>
      <c r="B201" s="229" t="s">
        <v>806</v>
      </c>
      <c r="C201" s="259" t="s">
        <v>152</v>
      </c>
      <c r="D201" s="371">
        <v>18</v>
      </c>
      <c r="E201" s="384">
        <v>202.738</v>
      </c>
      <c r="F201" s="235">
        <f t="shared" si="21"/>
        <v>3649.2840000000001</v>
      </c>
      <c r="G201" s="247"/>
      <c r="H201" s="267"/>
      <c r="I201" s="236"/>
      <c r="J201" s="235"/>
      <c r="K201" s="234"/>
      <c r="L201" s="234"/>
      <c r="M201" s="234"/>
      <c r="N201" s="252"/>
    </row>
    <row r="202" spans="1:14" ht="51" x14ac:dyDescent="0.25">
      <c r="A202" s="259" t="s">
        <v>807</v>
      </c>
      <c r="B202" s="229" t="s">
        <v>808</v>
      </c>
      <c r="C202" s="259" t="s">
        <v>152</v>
      </c>
      <c r="D202" s="371">
        <v>2</v>
      </c>
      <c r="E202" s="384">
        <v>755.27599999999995</v>
      </c>
      <c r="F202" s="235">
        <f t="shared" si="21"/>
        <v>1510.5519999999999</v>
      </c>
      <c r="G202" s="247"/>
      <c r="H202" s="267"/>
      <c r="I202" s="236"/>
      <c r="J202" s="235"/>
      <c r="K202" s="234"/>
      <c r="L202" s="234"/>
      <c r="M202" s="234"/>
      <c r="N202" s="252"/>
    </row>
    <row r="203" spans="1:14" ht="51" x14ac:dyDescent="0.25">
      <c r="A203" s="259" t="s">
        <v>809</v>
      </c>
      <c r="B203" s="229" t="s">
        <v>810</v>
      </c>
      <c r="C203" s="259" t="s">
        <v>189</v>
      </c>
      <c r="D203" s="371">
        <v>4.8</v>
      </c>
      <c r="E203" s="384">
        <v>1037.2539999999999</v>
      </c>
      <c r="F203" s="235">
        <f t="shared" si="21"/>
        <v>4978.819199999999</v>
      </c>
      <c r="G203" s="247"/>
      <c r="H203" s="267"/>
      <c r="I203" s="236"/>
      <c r="J203" s="235"/>
      <c r="K203" s="234"/>
      <c r="L203" s="234"/>
      <c r="M203" s="234"/>
      <c r="N203" s="252"/>
    </row>
    <row r="204" spans="1:14" x14ac:dyDescent="0.25">
      <c r="A204" s="259" t="s">
        <v>811</v>
      </c>
      <c r="B204" s="229" t="s">
        <v>812</v>
      </c>
      <c r="C204" s="259" t="s">
        <v>60</v>
      </c>
      <c r="D204" s="371">
        <v>8.4700000000000006</v>
      </c>
      <c r="E204" s="384">
        <v>278.27</v>
      </c>
      <c r="F204" s="235">
        <f t="shared" si="21"/>
        <v>2356.9468999999999</v>
      </c>
      <c r="G204" s="247"/>
      <c r="H204" s="267"/>
      <c r="I204" s="236"/>
      <c r="J204" s="235"/>
      <c r="K204" s="234"/>
      <c r="L204" s="234"/>
      <c r="M204" s="234"/>
      <c r="N204" s="252"/>
    </row>
    <row r="205" spans="1:14" ht="63.75" x14ac:dyDescent="0.25">
      <c r="A205" s="259" t="s">
        <v>813</v>
      </c>
      <c r="B205" s="229" t="s">
        <v>814</v>
      </c>
      <c r="C205" s="259" t="s">
        <v>152</v>
      </c>
      <c r="D205" s="371">
        <v>1</v>
      </c>
      <c r="E205" s="384">
        <v>746.7</v>
      </c>
      <c r="F205" s="235">
        <f>D205*E205</f>
        <v>746.7</v>
      </c>
      <c r="G205" s="247"/>
      <c r="H205" s="267"/>
      <c r="I205" s="236"/>
      <c r="J205" s="235"/>
      <c r="K205" s="234"/>
      <c r="L205" s="234"/>
      <c r="M205" s="234"/>
      <c r="N205" s="252"/>
    </row>
    <row r="206" spans="1:14" ht="25.5" x14ac:dyDescent="0.25">
      <c r="A206" s="259" t="s">
        <v>815</v>
      </c>
      <c r="B206" s="229" t="s">
        <v>816</v>
      </c>
      <c r="C206" s="259" t="s">
        <v>152</v>
      </c>
      <c r="D206" s="371">
        <v>8</v>
      </c>
      <c r="E206" s="384">
        <v>179.86099999999999</v>
      </c>
      <c r="F206" s="235">
        <f t="shared" si="21"/>
        <v>1438.8879999999999</v>
      </c>
      <c r="G206" s="247"/>
      <c r="H206" s="267"/>
      <c r="I206" s="236"/>
      <c r="J206" s="235"/>
      <c r="K206" s="234"/>
      <c r="L206" s="234"/>
      <c r="M206" s="234"/>
      <c r="N206" s="252"/>
    </row>
    <row r="207" spans="1:14" ht="38.25" x14ac:dyDescent="0.25">
      <c r="A207" s="259" t="s">
        <v>817</v>
      </c>
      <c r="B207" s="229" t="s">
        <v>818</v>
      </c>
      <c r="C207" s="259" t="s">
        <v>152</v>
      </c>
      <c r="D207" s="371">
        <v>8</v>
      </c>
      <c r="E207" s="384">
        <v>144.80500000000001</v>
      </c>
      <c r="F207" s="235">
        <f t="shared" si="21"/>
        <v>1158.44</v>
      </c>
      <c r="G207" s="247"/>
      <c r="H207" s="267"/>
      <c r="I207" s="236"/>
      <c r="J207" s="235"/>
      <c r="K207" s="234"/>
      <c r="L207" s="234"/>
      <c r="M207" s="234"/>
      <c r="N207" s="252"/>
    </row>
    <row r="208" spans="1:14" ht="38.25" x14ac:dyDescent="0.25">
      <c r="A208" s="259" t="s">
        <v>819</v>
      </c>
      <c r="B208" s="229" t="s">
        <v>820</v>
      </c>
      <c r="C208" s="259" t="s">
        <v>152</v>
      </c>
      <c r="D208" s="371">
        <v>7</v>
      </c>
      <c r="E208" s="384">
        <v>420.78399999999999</v>
      </c>
      <c r="F208" s="235">
        <f t="shared" si="21"/>
        <v>2945.4879999999998</v>
      </c>
      <c r="G208" s="247"/>
      <c r="H208" s="267"/>
      <c r="I208" s="236"/>
      <c r="J208" s="235"/>
      <c r="K208" s="234"/>
      <c r="L208" s="234"/>
      <c r="M208" s="234"/>
      <c r="N208" s="252"/>
    </row>
    <row r="209" spans="1:14" ht="25.5" x14ac:dyDescent="0.25">
      <c r="A209" s="259" t="s">
        <v>821</v>
      </c>
      <c r="B209" s="229" t="s">
        <v>822</v>
      </c>
      <c r="C209" s="259" t="s">
        <v>152</v>
      </c>
      <c r="D209" s="371">
        <v>1</v>
      </c>
      <c r="E209" s="384">
        <v>547.6</v>
      </c>
      <c r="F209" s="235">
        <f t="shared" si="21"/>
        <v>547.6</v>
      </c>
      <c r="G209" s="247"/>
      <c r="H209" s="267"/>
      <c r="I209" s="236"/>
      <c r="J209" s="235"/>
      <c r="K209" s="234"/>
      <c r="L209" s="234"/>
      <c r="M209" s="234"/>
      <c r="N209" s="252"/>
    </row>
    <row r="210" spans="1:14" s="306" customFormat="1" ht="18" x14ac:dyDescent="0.25">
      <c r="A210" s="366" t="s">
        <v>204</v>
      </c>
      <c r="B210" s="507" t="s">
        <v>823</v>
      </c>
      <c r="C210" s="508"/>
      <c r="D210" s="508"/>
      <c r="E210" s="509"/>
      <c r="F210" s="300">
        <f>SUM(F211:F213)</f>
        <v>911.47508999999991</v>
      </c>
      <c r="G210" s="301"/>
      <c r="H210" s="462"/>
      <c r="I210" s="302"/>
      <c r="J210" s="303"/>
      <c r="K210" s="304"/>
      <c r="L210" s="304"/>
      <c r="M210" s="304"/>
      <c r="N210" s="281"/>
    </row>
    <row r="211" spans="1:14" ht="38.25" x14ac:dyDescent="0.25">
      <c r="A211" s="259" t="s">
        <v>824</v>
      </c>
      <c r="B211" s="229" t="s">
        <v>825</v>
      </c>
      <c r="C211" s="259" t="s">
        <v>189</v>
      </c>
      <c r="D211" s="371">
        <v>20.46</v>
      </c>
      <c r="E211" s="384">
        <v>38.141500000000001</v>
      </c>
      <c r="F211" s="235">
        <f t="shared" si="21"/>
        <v>780.37509</v>
      </c>
      <c r="G211" s="247"/>
      <c r="H211" s="267"/>
      <c r="I211" s="236"/>
      <c r="J211" s="235"/>
      <c r="K211" s="234"/>
      <c r="L211" s="234"/>
      <c r="M211" s="234"/>
      <c r="N211" s="252"/>
    </row>
    <row r="212" spans="1:14" ht="38.25" x14ac:dyDescent="0.25">
      <c r="A212" s="259" t="s">
        <v>826</v>
      </c>
      <c r="B212" s="229" t="s">
        <v>827</v>
      </c>
      <c r="C212" s="259" t="s">
        <v>152</v>
      </c>
      <c r="D212" s="371">
        <v>5</v>
      </c>
      <c r="E212" s="384">
        <v>17.082000000000001</v>
      </c>
      <c r="F212" s="235">
        <f t="shared" si="21"/>
        <v>85.41</v>
      </c>
      <c r="G212" s="247"/>
      <c r="H212" s="267"/>
      <c r="I212" s="236"/>
      <c r="J212" s="235"/>
      <c r="K212" s="234"/>
      <c r="L212" s="234"/>
      <c r="M212" s="234"/>
      <c r="N212" s="252"/>
    </row>
    <row r="213" spans="1:14" ht="25.5" x14ac:dyDescent="0.25">
      <c r="A213" s="259" t="s">
        <v>828</v>
      </c>
      <c r="B213" s="229" t="s">
        <v>829</v>
      </c>
      <c r="C213" s="259" t="s">
        <v>152</v>
      </c>
      <c r="D213" s="371">
        <v>5</v>
      </c>
      <c r="E213" s="384">
        <v>9.1379999999999999</v>
      </c>
      <c r="F213" s="235">
        <f t="shared" si="21"/>
        <v>45.69</v>
      </c>
      <c r="G213" s="247"/>
      <c r="H213" s="267"/>
      <c r="I213" s="236"/>
      <c r="J213" s="235"/>
      <c r="K213" s="234"/>
      <c r="L213" s="234"/>
      <c r="M213" s="234"/>
      <c r="N213" s="252"/>
    </row>
    <row r="214" spans="1:14" ht="8.1" customHeight="1" x14ac:dyDescent="0.25">
      <c r="A214" s="510"/>
      <c r="B214" s="510"/>
      <c r="C214" s="510"/>
      <c r="D214" s="510"/>
      <c r="E214" s="510"/>
      <c r="F214" s="510"/>
      <c r="G214" s="510"/>
      <c r="H214" s="510"/>
      <c r="I214" s="510"/>
      <c r="J214" s="510"/>
      <c r="K214" s="510"/>
      <c r="L214" s="510"/>
      <c r="M214" s="510"/>
      <c r="N214" s="252"/>
    </row>
    <row r="215" spans="1:14" s="411" customFormat="1" ht="27.75" customHeight="1" x14ac:dyDescent="0.25">
      <c r="A215" s="402" t="s">
        <v>830</v>
      </c>
      <c r="B215" s="504" t="s">
        <v>831</v>
      </c>
      <c r="C215" s="505"/>
      <c r="D215" s="505"/>
      <c r="E215" s="506"/>
      <c r="F215" s="403">
        <f>SUM(F216:F253)</f>
        <v>41814.853317100016</v>
      </c>
      <c r="G215" s="404"/>
      <c r="H215" s="454"/>
      <c r="I215" s="405"/>
      <c r="J215" s="420"/>
      <c r="K215" s="417">
        <f>SUM(K216:K253)</f>
        <v>6988.7998370000014</v>
      </c>
      <c r="L215" s="417">
        <f>SUM(L216:L253)</f>
        <v>21727.026909</v>
      </c>
      <c r="M215" s="415">
        <f>SUM(M216:M253)</f>
        <v>28715.826745999999</v>
      </c>
      <c r="N215" s="482"/>
    </row>
    <row r="216" spans="1:14" ht="25.5" x14ac:dyDescent="0.25">
      <c r="A216" s="259" t="s">
        <v>219</v>
      </c>
      <c r="B216" s="229" t="s">
        <v>832</v>
      </c>
      <c r="C216" s="266" t="s">
        <v>152</v>
      </c>
      <c r="D216" s="371">
        <v>0</v>
      </c>
      <c r="E216" s="384">
        <v>732.94</v>
      </c>
      <c r="F216" s="235"/>
      <c r="G216" s="247"/>
      <c r="H216" s="455"/>
      <c r="I216" s="236"/>
      <c r="J216" s="235"/>
      <c r="K216" s="234"/>
      <c r="L216" s="234"/>
      <c r="M216" s="234"/>
      <c r="N216" s="252"/>
    </row>
    <row r="217" spans="1:14" x14ac:dyDescent="0.25">
      <c r="A217" s="259" t="s">
        <v>221</v>
      </c>
      <c r="B217" s="229" t="s">
        <v>833</v>
      </c>
      <c r="C217" s="266" t="s">
        <v>81</v>
      </c>
      <c r="D217" s="371">
        <v>0.35</v>
      </c>
      <c r="E217" s="384">
        <v>25.61</v>
      </c>
      <c r="F217" s="235">
        <f t="shared" ref="F217:F252" si="26">E217*D217</f>
        <v>8.9634999999999998</v>
      </c>
      <c r="G217" s="247"/>
      <c r="H217" s="267"/>
      <c r="I217" s="236"/>
      <c r="J217" s="235"/>
      <c r="K217" s="234"/>
      <c r="L217" s="234"/>
      <c r="M217" s="234"/>
      <c r="N217" s="252"/>
    </row>
    <row r="218" spans="1:14" ht="51" x14ac:dyDescent="0.25">
      <c r="A218" s="259" t="s">
        <v>223</v>
      </c>
      <c r="B218" s="229" t="s">
        <v>834</v>
      </c>
      <c r="C218" s="266" t="s">
        <v>152</v>
      </c>
      <c r="D218" s="371">
        <v>2</v>
      </c>
      <c r="E218" s="384">
        <v>612.87</v>
      </c>
      <c r="F218" s="235">
        <f t="shared" si="26"/>
        <v>1225.74</v>
      </c>
      <c r="G218" s="247"/>
      <c r="H218" s="267">
        <v>2</v>
      </c>
      <c r="I218" s="274">
        <v>2</v>
      </c>
      <c r="J218" s="235"/>
      <c r="K218" s="243"/>
      <c r="L218" s="234">
        <f>E218*H218</f>
        <v>1225.74</v>
      </c>
      <c r="M218" s="270">
        <f>E218*I218</f>
        <v>1225.74</v>
      </c>
      <c r="N218" s="252"/>
    </row>
    <row r="219" spans="1:14" ht="38.25" x14ac:dyDescent="0.25">
      <c r="A219" s="259" t="s">
        <v>225</v>
      </c>
      <c r="B219" s="229" t="s">
        <v>835</v>
      </c>
      <c r="C219" s="266" t="s">
        <v>81</v>
      </c>
      <c r="D219" s="371">
        <v>0.06</v>
      </c>
      <c r="E219" s="384">
        <v>337.87</v>
      </c>
      <c r="F219" s="235">
        <f t="shared" si="26"/>
        <v>20.272199999999998</v>
      </c>
      <c r="G219" s="247"/>
      <c r="H219" s="468"/>
      <c r="I219" s="483"/>
      <c r="J219" s="235"/>
      <c r="K219" s="243"/>
      <c r="L219" s="234"/>
      <c r="M219" s="243"/>
      <c r="N219" s="481"/>
    </row>
    <row r="220" spans="1:14" ht="25.5" x14ac:dyDescent="0.25">
      <c r="A220" s="259" t="s">
        <v>227</v>
      </c>
      <c r="B220" s="229" t="s">
        <v>836</v>
      </c>
      <c r="C220" s="266" t="s">
        <v>81</v>
      </c>
      <c r="D220" s="371">
        <v>0.06</v>
      </c>
      <c r="E220" s="384">
        <v>84.49</v>
      </c>
      <c r="F220" s="235">
        <f t="shared" si="26"/>
        <v>5.0693999999999999</v>
      </c>
      <c r="G220" s="247"/>
      <c r="H220" s="468"/>
      <c r="I220" s="483"/>
      <c r="J220" s="235"/>
      <c r="K220" s="243"/>
      <c r="L220" s="234"/>
      <c r="M220" s="243"/>
      <c r="N220" s="252"/>
    </row>
    <row r="221" spans="1:14" x14ac:dyDescent="0.25">
      <c r="A221" s="259" t="s">
        <v>230</v>
      </c>
      <c r="B221" s="229" t="s">
        <v>837</v>
      </c>
      <c r="C221" s="266" t="s">
        <v>81</v>
      </c>
      <c r="D221" s="371">
        <v>0.28999999999999998</v>
      </c>
      <c r="E221" s="384">
        <v>44.81</v>
      </c>
      <c r="F221" s="235">
        <f t="shared" si="26"/>
        <v>12.994899999999999</v>
      </c>
      <c r="G221" s="247"/>
      <c r="H221" s="468"/>
      <c r="I221" s="483"/>
      <c r="J221" s="235"/>
      <c r="K221" s="243"/>
      <c r="L221" s="234"/>
      <c r="M221" s="243"/>
      <c r="N221" s="252"/>
    </row>
    <row r="222" spans="1:14" ht="25.5" x14ac:dyDescent="0.25">
      <c r="A222" s="259" t="s">
        <v>233</v>
      </c>
      <c r="B222" s="229" t="s">
        <v>838</v>
      </c>
      <c r="C222" s="266" t="s">
        <v>152</v>
      </c>
      <c r="D222" s="371">
        <v>24</v>
      </c>
      <c r="E222" s="384">
        <v>11.3</v>
      </c>
      <c r="F222" s="235">
        <f>E222*D222-0.04</f>
        <v>271.16000000000003</v>
      </c>
      <c r="G222" s="247"/>
      <c r="H222" s="267">
        <v>24</v>
      </c>
      <c r="I222" s="274">
        <v>24</v>
      </c>
      <c r="J222" s="235"/>
      <c r="K222" s="243"/>
      <c r="L222" s="234">
        <f>11.2985*24</f>
        <v>271.16399999999999</v>
      </c>
      <c r="M222" s="270">
        <f>11.2985*24</f>
        <v>271.16399999999999</v>
      </c>
      <c r="N222" s="252"/>
    </row>
    <row r="223" spans="1:14" ht="25.5" x14ac:dyDescent="0.25">
      <c r="A223" s="259" t="s">
        <v>236</v>
      </c>
      <c r="B223" s="229" t="s">
        <v>839</v>
      </c>
      <c r="C223" s="266" t="s">
        <v>152</v>
      </c>
      <c r="D223" s="371">
        <v>2</v>
      </c>
      <c r="E223" s="384">
        <v>73.736000000000004</v>
      </c>
      <c r="F223" s="235">
        <f t="shared" si="26"/>
        <v>147.47200000000001</v>
      </c>
      <c r="G223" s="247"/>
      <c r="H223" s="267">
        <v>2</v>
      </c>
      <c r="I223" s="274">
        <v>2</v>
      </c>
      <c r="J223" s="235"/>
      <c r="K223" s="243"/>
      <c r="L223" s="234">
        <f t="shared" ref="L223:L225" si="27">E223*H223</f>
        <v>147.47200000000001</v>
      </c>
      <c r="M223" s="270">
        <f>E223*I223</f>
        <v>147.47200000000001</v>
      </c>
      <c r="N223" s="252"/>
    </row>
    <row r="224" spans="1:14" ht="38.25" x14ac:dyDescent="0.25">
      <c r="A224" s="259" t="s">
        <v>239</v>
      </c>
      <c r="B224" s="229" t="s">
        <v>840</v>
      </c>
      <c r="C224" s="266" t="s">
        <v>152</v>
      </c>
      <c r="D224" s="371">
        <v>3</v>
      </c>
      <c r="E224" s="384">
        <v>176.31299999999999</v>
      </c>
      <c r="F224" s="235">
        <f t="shared" si="26"/>
        <v>528.93899999999996</v>
      </c>
      <c r="G224" s="247"/>
      <c r="H224" s="468"/>
      <c r="I224" s="480"/>
      <c r="J224" s="235"/>
      <c r="K224" s="243"/>
      <c r="L224" s="234"/>
      <c r="M224" s="243"/>
      <c r="N224" s="252"/>
    </row>
    <row r="225" spans="1:14" ht="25.5" x14ac:dyDescent="0.25">
      <c r="A225" s="259" t="s">
        <v>242</v>
      </c>
      <c r="B225" s="229" t="s">
        <v>841</v>
      </c>
      <c r="C225" s="266" t="s">
        <v>152</v>
      </c>
      <c r="D225" s="371">
        <v>1</v>
      </c>
      <c r="E225" s="384">
        <v>99.2</v>
      </c>
      <c r="F225" s="235">
        <f t="shared" si="26"/>
        <v>99.2</v>
      </c>
      <c r="G225" s="247"/>
      <c r="H225" s="267">
        <v>1</v>
      </c>
      <c r="I225" s="274">
        <v>1</v>
      </c>
      <c r="J225" s="235"/>
      <c r="K225" s="243"/>
      <c r="L225" s="234">
        <f t="shared" si="27"/>
        <v>99.2</v>
      </c>
      <c r="M225" s="270">
        <f>E225*I225</f>
        <v>99.2</v>
      </c>
      <c r="N225" s="252"/>
    </row>
    <row r="226" spans="1:14" ht="25.5" x14ac:dyDescent="0.25">
      <c r="A226" s="259" t="s">
        <v>244</v>
      </c>
      <c r="B226" s="229" t="s">
        <v>842</v>
      </c>
      <c r="C226" s="266" t="s">
        <v>152</v>
      </c>
      <c r="D226" s="371">
        <v>12</v>
      </c>
      <c r="E226" s="384">
        <v>96.44</v>
      </c>
      <c r="F226" s="235">
        <f t="shared" si="26"/>
        <v>1157.28</v>
      </c>
      <c r="G226" s="247"/>
      <c r="H226" s="468"/>
      <c r="I226" s="480"/>
      <c r="J226" s="235"/>
      <c r="K226" s="243"/>
      <c r="L226" s="234"/>
      <c r="M226" s="243"/>
      <c r="N226" s="252"/>
    </row>
    <row r="227" spans="1:14" ht="25.5" x14ac:dyDescent="0.25">
      <c r="A227" s="259" t="s">
        <v>246</v>
      </c>
      <c r="B227" s="229" t="s">
        <v>843</v>
      </c>
      <c r="C227" s="266" t="s">
        <v>152</v>
      </c>
      <c r="D227" s="371">
        <v>25</v>
      </c>
      <c r="E227" s="384">
        <v>20.49</v>
      </c>
      <c r="F227" s="235">
        <f t="shared" si="26"/>
        <v>512.25</v>
      </c>
      <c r="G227" s="247"/>
      <c r="H227" s="267">
        <v>25</v>
      </c>
      <c r="I227" s="267">
        <v>25</v>
      </c>
      <c r="J227" s="235"/>
      <c r="K227" s="243"/>
      <c r="L227" s="234">
        <f t="shared" ref="L227:L234" si="28">E227*H227</f>
        <v>512.25</v>
      </c>
      <c r="M227" s="270">
        <f t="shared" ref="M227:M234" si="29">E227*I227</f>
        <v>512.25</v>
      </c>
      <c r="N227" s="252"/>
    </row>
    <row r="228" spans="1:14" ht="25.5" x14ac:dyDescent="0.25">
      <c r="A228" s="259" t="s">
        <v>248</v>
      </c>
      <c r="B228" s="229" t="s">
        <v>844</v>
      </c>
      <c r="C228" s="266" t="s">
        <v>152</v>
      </c>
      <c r="D228" s="371">
        <v>81</v>
      </c>
      <c r="E228" s="384">
        <v>34.465000000000003</v>
      </c>
      <c r="F228" s="235">
        <f t="shared" si="26"/>
        <v>2791.6650000000004</v>
      </c>
      <c r="G228" s="247"/>
      <c r="H228" s="468"/>
      <c r="I228" s="468"/>
      <c r="J228" s="235"/>
      <c r="K228" s="243"/>
      <c r="L228" s="234"/>
      <c r="M228" s="270"/>
      <c r="N228" s="252"/>
    </row>
    <row r="229" spans="1:14" ht="25.5" x14ac:dyDescent="0.25">
      <c r="A229" s="259" t="s">
        <v>250</v>
      </c>
      <c r="B229" s="229" t="s">
        <v>845</v>
      </c>
      <c r="C229" s="266" t="s">
        <v>152</v>
      </c>
      <c r="D229" s="371">
        <v>1</v>
      </c>
      <c r="E229" s="384">
        <v>32.49</v>
      </c>
      <c r="F229" s="235">
        <f t="shared" si="26"/>
        <v>32.49</v>
      </c>
      <c r="G229" s="247"/>
      <c r="H229" s="267">
        <v>1</v>
      </c>
      <c r="I229" s="267">
        <v>1</v>
      </c>
      <c r="J229" s="235"/>
      <c r="K229" s="243"/>
      <c r="L229" s="234">
        <f t="shared" si="28"/>
        <v>32.49</v>
      </c>
      <c r="M229" s="270">
        <f t="shared" si="29"/>
        <v>32.49</v>
      </c>
      <c r="N229" s="252"/>
    </row>
    <row r="230" spans="1:14" ht="25.5" x14ac:dyDescent="0.25">
      <c r="A230" s="259" t="s">
        <v>253</v>
      </c>
      <c r="B230" s="229" t="s">
        <v>846</v>
      </c>
      <c r="C230" s="266" t="s">
        <v>152</v>
      </c>
      <c r="D230" s="371">
        <v>2</v>
      </c>
      <c r="E230" s="384">
        <v>25.23</v>
      </c>
      <c r="F230" s="235">
        <f t="shared" si="26"/>
        <v>50.46</v>
      </c>
      <c r="G230" s="247"/>
      <c r="H230" s="267">
        <v>2</v>
      </c>
      <c r="I230" s="267">
        <v>2</v>
      </c>
      <c r="J230" s="235"/>
      <c r="K230" s="243"/>
      <c r="L230" s="234">
        <f t="shared" si="28"/>
        <v>50.46</v>
      </c>
      <c r="M230" s="270">
        <f t="shared" si="29"/>
        <v>50.46</v>
      </c>
      <c r="N230" s="252"/>
    </row>
    <row r="231" spans="1:14" ht="25.5" x14ac:dyDescent="0.25">
      <c r="A231" s="259" t="s">
        <v>256</v>
      </c>
      <c r="B231" s="229" t="s">
        <v>847</v>
      </c>
      <c r="C231" s="266" t="s">
        <v>152</v>
      </c>
      <c r="D231" s="371">
        <v>11</v>
      </c>
      <c r="E231" s="384">
        <v>36.131999999999998</v>
      </c>
      <c r="F231" s="235">
        <f t="shared" si="26"/>
        <v>397.452</v>
      </c>
      <c r="G231" s="247"/>
      <c r="H231" s="267">
        <v>1</v>
      </c>
      <c r="I231" s="267">
        <v>1</v>
      </c>
      <c r="J231" s="235"/>
      <c r="K231" s="243"/>
      <c r="L231" s="234">
        <f t="shared" si="28"/>
        <v>36.131999999999998</v>
      </c>
      <c r="M231" s="270">
        <f t="shared" si="29"/>
        <v>36.131999999999998</v>
      </c>
      <c r="N231" s="252"/>
    </row>
    <row r="232" spans="1:14" ht="38.25" x14ac:dyDescent="0.25">
      <c r="A232" s="259" t="s">
        <v>259</v>
      </c>
      <c r="B232" s="229" t="s">
        <v>848</v>
      </c>
      <c r="C232" s="266" t="s">
        <v>152</v>
      </c>
      <c r="D232" s="371">
        <v>33</v>
      </c>
      <c r="E232" s="384">
        <v>21.725999999999999</v>
      </c>
      <c r="F232" s="235">
        <f t="shared" si="26"/>
        <v>716.95799999999997</v>
      </c>
      <c r="G232" s="247"/>
      <c r="H232" s="267">
        <v>33</v>
      </c>
      <c r="I232" s="267">
        <v>33</v>
      </c>
      <c r="J232" s="235"/>
      <c r="K232" s="243"/>
      <c r="L232" s="234">
        <f t="shared" si="28"/>
        <v>716.95799999999997</v>
      </c>
      <c r="M232" s="270">
        <f t="shared" si="29"/>
        <v>716.95799999999997</v>
      </c>
      <c r="N232" s="252"/>
    </row>
    <row r="233" spans="1:14" ht="38.25" x14ac:dyDescent="0.25">
      <c r="A233" s="259" t="s">
        <v>262</v>
      </c>
      <c r="B233" s="229" t="s">
        <v>849</v>
      </c>
      <c r="C233" s="266" t="s">
        <v>152</v>
      </c>
      <c r="D233" s="371">
        <v>19</v>
      </c>
      <c r="E233" s="384">
        <v>23.7685</v>
      </c>
      <c r="F233" s="235">
        <f t="shared" si="26"/>
        <v>451.60149999999999</v>
      </c>
      <c r="G233" s="247"/>
      <c r="H233" s="267">
        <v>19</v>
      </c>
      <c r="I233" s="267">
        <v>19</v>
      </c>
      <c r="J233" s="235"/>
      <c r="K233" s="243"/>
      <c r="L233" s="234">
        <f t="shared" si="28"/>
        <v>451.60149999999999</v>
      </c>
      <c r="M233" s="270">
        <f t="shared" si="29"/>
        <v>451.60149999999999</v>
      </c>
      <c r="N233" s="252"/>
    </row>
    <row r="234" spans="1:14" ht="38.25" x14ac:dyDescent="0.25">
      <c r="A234" s="259" t="s">
        <v>264</v>
      </c>
      <c r="B234" s="229" t="s">
        <v>850</v>
      </c>
      <c r="C234" s="266" t="s">
        <v>152</v>
      </c>
      <c r="D234" s="371">
        <v>27</v>
      </c>
      <c r="E234" s="384">
        <v>34.9</v>
      </c>
      <c r="F234" s="235">
        <f>E234*D234-0.13</f>
        <v>942.17</v>
      </c>
      <c r="G234" s="247"/>
      <c r="H234" s="267">
        <v>20</v>
      </c>
      <c r="I234" s="274">
        <v>20</v>
      </c>
      <c r="J234" s="235"/>
      <c r="K234" s="243"/>
      <c r="L234" s="234">
        <f t="shared" si="28"/>
        <v>698</v>
      </c>
      <c r="M234" s="270">
        <f t="shared" si="29"/>
        <v>698</v>
      </c>
      <c r="N234" s="252"/>
    </row>
    <row r="235" spans="1:14" ht="38.25" x14ac:dyDescent="0.25">
      <c r="A235" s="259" t="s">
        <v>266</v>
      </c>
      <c r="B235" s="229" t="s">
        <v>851</v>
      </c>
      <c r="C235" s="266" t="s">
        <v>189</v>
      </c>
      <c r="D235" s="371">
        <v>226.5</v>
      </c>
      <c r="E235" s="384">
        <v>2.6122999999999998</v>
      </c>
      <c r="F235" s="235">
        <f t="shared" si="26"/>
        <v>591.68594999999993</v>
      </c>
      <c r="G235" s="247"/>
      <c r="H235" s="267">
        <v>226.5</v>
      </c>
      <c r="I235" s="267">
        <v>226.5</v>
      </c>
      <c r="J235" s="235"/>
      <c r="K235" s="243"/>
      <c r="L235" s="234">
        <f>E235*H235</f>
        <v>591.68594999999993</v>
      </c>
      <c r="M235" s="270">
        <f>E235*I235</f>
        <v>591.68594999999993</v>
      </c>
      <c r="N235" s="252"/>
    </row>
    <row r="236" spans="1:14" ht="38.25" x14ac:dyDescent="0.25">
      <c r="A236" s="259" t="s">
        <v>268</v>
      </c>
      <c r="B236" s="229" t="s">
        <v>852</v>
      </c>
      <c r="C236" s="266" t="s">
        <v>189</v>
      </c>
      <c r="D236" s="371">
        <v>1454.1</v>
      </c>
      <c r="E236" s="384">
        <v>3.8915700000000002</v>
      </c>
      <c r="F236" s="235">
        <f t="shared" si="26"/>
        <v>5658.7319369999996</v>
      </c>
      <c r="G236" s="247"/>
      <c r="H236" s="247">
        <v>1454.1</v>
      </c>
      <c r="I236" s="247">
        <v>1454.1</v>
      </c>
      <c r="J236" s="235"/>
      <c r="K236" s="243"/>
      <c r="L236" s="234">
        <f t="shared" ref="L236:L237" si="30">E236*H236</f>
        <v>5658.7319369999996</v>
      </c>
      <c r="M236" s="270">
        <f t="shared" ref="M236:M237" si="31">E236*I236</f>
        <v>5658.7319369999996</v>
      </c>
      <c r="N236" s="252"/>
    </row>
    <row r="237" spans="1:14" ht="38.25" x14ac:dyDescent="0.25">
      <c r="A237" s="259" t="s">
        <v>270</v>
      </c>
      <c r="B237" s="229" t="s">
        <v>853</v>
      </c>
      <c r="C237" s="266" t="s">
        <v>189</v>
      </c>
      <c r="D237" s="371">
        <v>1900.2</v>
      </c>
      <c r="E237" s="384">
        <v>5.9126099999999999</v>
      </c>
      <c r="F237" s="235">
        <f t="shared" si="26"/>
        <v>11235.141522</v>
      </c>
      <c r="G237" s="247"/>
      <c r="H237" s="247">
        <v>1900.2</v>
      </c>
      <c r="I237" s="247">
        <v>1900.2</v>
      </c>
      <c r="J237" s="235"/>
      <c r="K237" s="243"/>
      <c r="L237" s="234">
        <f t="shared" si="30"/>
        <v>11235.141522</v>
      </c>
      <c r="M237" s="270">
        <f t="shared" si="31"/>
        <v>11235.141522</v>
      </c>
      <c r="N237" s="252"/>
    </row>
    <row r="238" spans="1:14" ht="38.25" x14ac:dyDescent="0.25">
      <c r="A238" s="259" t="s">
        <v>272</v>
      </c>
      <c r="B238" s="229" t="s">
        <v>854</v>
      </c>
      <c r="C238" s="266" t="s">
        <v>189</v>
      </c>
      <c r="D238" s="371">
        <v>112.2</v>
      </c>
      <c r="E238" s="384">
        <v>8.9226500000000009</v>
      </c>
      <c r="F238" s="235">
        <f t="shared" si="26"/>
        <v>1001.1213300000002</v>
      </c>
      <c r="G238" s="247"/>
      <c r="H238" s="267"/>
      <c r="I238" s="236"/>
      <c r="J238" s="235"/>
      <c r="K238" s="243"/>
      <c r="L238" s="243"/>
      <c r="M238" s="243"/>
      <c r="N238" s="252"/>
    </row>
    <row r="239" spans="1:14" ht="38.25" x14ac:dyDescent="0.25">
      <c r="A239" s="259" t="s">
        <v>274</v>
      </c>
      <c r="B239" s="229" t="s">
        <v>855</v>
      </c>
      <c r="C239" s="266" t="s">
        <v>189</v>
      </c>
      <c r="D239" s="371">
        <v>449.1</v>
      </c>
      <c r="E239" s="384">
        <v>6.5898700000000003</v>
      </c>
      <c r="F239" s="235">
        <f t="shared" si="26"/>
        <v>2959.5106170000004</v>
      </c>
      <c r="G239" s="267">
        <v>449.1</v>
      </c>
      <c r="H239" s="267"/>
      <c r="I239" s="267">
        <v>449.1</v>
      </c>
      <c r="J239" s="235"/>
      <c r="K239" s="268">
        <f>E239*G239</f>
        <v>2959.5106170000004</v>
      </c>
      <c r="L239" s="268"/>
      <c r="M239" s="268">
        <f>E239*I239</f>
        <v>2959.5106170000004</v>
      </c>
      <c r="N239" s="252"/>
    </row>
    <row r="240" spans="1:14" ht="38.25" x14ac:dyDescent="0.25">
      <c r="A240" s="259" t="s">
        <v>276</v>
      </c>
      <c r="B240" s="229" t="s">
        <v>856</v>
      </c>
      <c r="C240" s="266" t="s">
        <v>189</v>
      </c>
      <c r="D240" s="371">
        <v>76.099999999999994</v>
      </c>
      <c r="E240" s="384">
        <v>8.4604999999999997</v>
      </c>
      <c r="F240" s="235">
        <f t="shared" si="26"/>
        <v>643.84404999999992</v>
      </c>
      <c r="G240" s="267">
        <v>76.099999999999994</v>
      </c>
      <c r="H240" s="267"/>
      <c r="I240" s="267">
        <v>76.099999999999994</v>
      </c>
      <c r="J240" s="235"/>
      <c r="K240" s="268">
        <f t="shared" ref="K240:K252" si="32">E240*G240</f>
        <v>643.84404999999992</v>
      </c>
      <c r="L240" s="268"/>
      <c r="M240" s="268">
        <f t="shared" ref="M240:M243" si="33">E240*I240</f>
        <v>643.84404999999992</v>
      </c>
      <c r="N240" s="252"/>
    </row>
    <row r="241" spans="1:14" ht="38.25" x14ac:dyDescent="0.25">
      <c r="A241" s="259" t="s">
        <v>278</v>
      </c>
      <c r="B241" s="229" t="s">
        <v>857</v>
      </c>
      <c r="C241" s="266" t="s">
        <v>189</v>
      </c>
      <c r="D241" s="371">
        <v>261.5</v>
      </c>
      <c r="E241" s="384">
        <v>8.6753999999999998</v>
      </c>
      <c r="F241" s="235">
        <f t="shared" si="26"/>
        <v>2268.6170999999999</v>
      </c>
      <c r="G241" s="267">
        <v>261.5</v>
      </c>
      <c r="H241" s="267"/>
      <c r="I241" s="267">
        <v>261.5</v>
      </c>
      <c r="J241" s="235"/>
      <c r="K241" s="268">
        <f t="shared" si="32"/>
        <v>2268.6170999999999</v>
      </c>
      <c r="L241" s="268"/>
      <c r="M241" s="268">
        <f t="shared" si="33"/>
        <v>2268.6170999999999</v>
      </c>
      <c r="N241" s="252"/>
    </row>
    <row r="242" spans="1:14" s="262" customFormat="1" ht="38.25" x14ac:dyDescent="0.25">
      <c r="A242" s="259" t="s">
        <v>280</v>
      </c>
      <c r="B242" s="229" t="s">
        <v>858</v>
      </c>
      <c r="C242" s="266" t="s">
        <v>189</v>
      </c>
      <c r="D242" s="371">
        <v>42.1</v>
      </c>
      <c r="E242" s="384">
        <v>11.1587</v>
      </c>
      <c r="F242" s="235">
        <f t="shared" si="26"/>
        <v>469.78127000000001</v>
      </c>
      <c r="G242" s="267">
        <v>42.1</v>
      </c>
      <c r="H242" s="267"/>
      <c r="I242" s="267">
        <v>42.1</v>
      </c>
      <c r="J242" s="235"/>
      <c r="K242" s="268">
        <f t="shared" si="32"/>
        <v>469.78127000000001</v>
      </c>
      <c r="L242" s="268"/>
      <c r="M242" s="268">
        <f t="shared" si="33"/>
        <v>469.78127000000001</v>
      </c>
      <c r="N242" s="261"/>
    </row>
    <row r="243" spans="1:14" s="262" customFormat="1" ht="38.25" x14ac:dyDescent="0.25">
      <c r="A243" s="259" t="s">
        <v>283</v>
      </c>
      <c r="B243" s="229" t="s">
        <v>859</v>
      </c>
      <c r="C243" s="266" t="s">
        <v>189</v>
      </c>
      <c r="D243" s="371">
        <v>6.2</v>
      </c>
      <c r="E243" s="384">
        <v>13.223000000000001</v>
      </c>
      <c r="F243" s="235">
        <f t="shared" si="26"/>
        <v>81.982600000000005</v>
      </c>
      <c r="G243" s="267">
        <v>6.2</v>
      </c>
      <c r="H243" s="267"/>
      <c r="I243" s="267">
        <v>6.2</v>
      </c>
      <c r="J243" s="235"/>
      <c r="K243" s="268">
        <f t="shared" si="32"/>
        <v>81.982600000000005</v>
      </c>
      <c r="L243" s="268"/>
      <c r="M243" s="268">
        <f t="shared" si="33"/>
        <v>81.982600000000005</v>
      </c>
      <c r="N243" s="261"/>
    </row>
    <row r="244" spans="1:14" s="262" customFormat="1" ht="25.5" x14ac:dyDescent="0.25">
      <c r="A244" s="259" t="s">
        <v>286</v>
      </c>
      <c r="B244" s="229" t="s">
        <v>860</v>
      </c>
      <c r="C244" s="266" t="s">
        <v>152</v>
      </c>
      <c r="D244" s="371">
        <v>4</v>
      </c>
      <c r="E244" s="384">
        <v>46.677999999999997</v>
      </c>
      <c r="F244" s="235">
        <f t="shared" si="26"/>
        <v>186.71199999999999</v>
      </c>
      <c r="G244" s="247"/>
      <c r="H244" s="267"/>
      <c r="I244" s="236"/>
      <c r="J244" s="235"/>
      <c r="K244" s="270"/>
      <c r="L244" s="265"/>
      <c r="M244" s="265"/>
      <c r="N244" s="261"/>
    </row>
    <row r="245" spans="1:14" s="262" customFormat="1" ht="25.5" x14ac:dyDescent="0.25">
      <c r="A245" s="259" t="s">
        <v>289</v>
      </c>
      <c r="B245" s="229" t="s">
        <v>861</v>
      </c>
      <c r="C245" s="266" t="s">
        <v>152</v>
      </c>
      <c r="D245" s="371">
        <v>219</v>
      </c>
      <c r="E245" s="384">
        <v>1.89205</v>
      </c>
      <c r="F245" s="235">
        <f t="shared" si="26"/>
        <v>414.35894999999999</v>
      </c>
      <c r="G245" s="247"/>
      <c r="H245" s="267"/>
      <c r="I245" s="236"/>
      <c r="J245" s="235"/>
      <c r="K245" s="270"/>
      <c r="L245" s="265"/>
      <c r="M245" s="265"/>
      <c r="N245" s="261"/>
    </row>
    <row r="246" spans="1:14" s="262" customFormat="1" ht="25.5" x14ac:dyDescent="0.25">
      <c r="A246" s="259" t="s">
        <v>292</v>
      </c>
      <c r="B246" s="229" t="s">
        <v>862</v>
      </c>
      <c r="C246" s="266" t="s">
        <v>152</v>
      </c>
      <c r="D246" s="371">
        <v>39</v>
      </c>
      <c r="E246" s="384">
        <v>2.0318000000000001</v>
      </c>
      <c r="F246" s="235">
        <f t="shared" si="26"/>
        <v>79.240200000000002</v>
      </c>
      <c r="G246" s="247"/>
      <c r="H246" s="267"/>
      <c r="I246" s="236"/>
      <c r="J246" s="235"/>
      <c r="K246" s="270"/>
      <c r="L246" s="265"/>
      <c r="M246" s="265"/>
      <c r="N246" s="261"/>
    </row>
    <row r="247" spans="1:14" s="262" customFormat="1" ht="25.5" x14ac:dyDescent="0.25">
      <c r="A247" s="259" t="s">
        <v>295</v>
      </c>
      <c r="B247" s="229" t="s">
        <v>863</v>
      </c>
      <c r="C247" s="266" t="s">
        <v>152</v>
      </c>
      <c r="D247" s="371">
        <v>6</v>
      </c>
      <c r="E247" s="384">
        <v>3.3</v>
      </c>
      <c r="F247" s="235">
        <f t="shared" si="26"/>
        <v>19.799999999999997</v>
      </c>
      <c r="G247" s="247"/>
      <c r="H247" s="267"/>
      <c r="I247" s="236"/>
      <c r="J247" s="235"/>
      <c r="K247" s="270"/>
      <c r="L247" s="265"/>
      <c r="M247" s="265"/>
      <c r="N247" s="261"/>
    </row>
    <row r="248" spans="1:14" s="262" customFormat="1" ht="25.5" x14ac:dyDescent="0.25">
      <c r="A248" s="259" t="s">
        <v>298</v>
      </c>
      <c r="B248" s="229" t="s">
        <v>864</v>
      </c>
      <c r="C248" s="266" t="s">
        <v>152</v>
      </c>
      <c r="D248" s="371">
        <v>81</v>
      </c>
      <c r="E248" s="384">
        <v>8.0518000000000001</v>
      </c>
      <c r="F248" s="235">
        <f t="shared" si="26"/>
        <v>652.19579999999996</v>
      </c>
      <c r="G248" s="247">
        <v>69</v>
      </c>
      <c r="H248" s="267"/>
      <c r="I248" s="274">
        <v>69</v>
      </c>
      <c r="J248" s="268"/>
      <c r="K248" s="270">
        <f t="shared" si="32"/>
        <v>555.57420000000002</v>
      </c>
      <c r="L248" s="270"/>
      <c r="M248" s="270">
        <f>E248*I248</f>
        <v>555.57420000000002</v>
      </c>
      <c r="N248" s="261"/>
    </row>
    <row r="249" spans="1:14" ht="38.25" x14ac:dyDescent="0.25">
      <c r="A249" s="259" t="s">
        <v>301</v>
      </c>
      <c r="B249" s="229" t="s">
        <v>865</v>
      </c>
      <c r="C249" s="266" t="s">
        <v>152</v>
      </c>
      <c r="D249" s="371">
        <v>127</v>
      </c>
      <c r="E249" s="384">
        <v>17.7378</v>
      </c>
      <c r="F249" s="235">
        <f t="shared" si="26"/>
        <v>2252.7006000000001</v>
      </c>
      <c r="G249" s="247"/>
      <c r="H249" s="267"/>
      <c r="I249" s="236"/>
      <c r="J249" s="235"/>
      <c r="K249" s="270"/>
      <c r="L249" s="243"/>
      <c r="M249" s="243"/>
      <c r="N249" s="252"/>
    </row>
    <row r="250" spans="1:14" ht="38.25" x14ac:dyDescent="0.25">
      <c r="A250" s="259" t="s">
        <v>304</v>
      </c>
      <c r="B250" s="229" t="s">
        <v>866</v>
      </c>
      <c r="C250" s="266" t="s">
        <v>152</v>
      </c>
      <c r="D250" s="371">
        <v>29</v>
      </c>
      <c r="E250" s="384">
        <v>4.5045000000000002</v>
      </c>
      <c r="F250" s="235">
        <f t="shared" si="26"/>
        <v>130.63050000000001</v>
      </c>
      <c r="G250" s="247"/>
      <c r="H250" s="267"/>
      <c r="I250" s="236"/>
      <c r="J250" s="235"/>
      <c r="K250" s="270"/>
      <c r="L250" s="243"/>
      <c r="M250" s="243"/>
      <c r="N250" s="252"/>
    </row>
    <row r="251" spans="1:14" ht="38.25" x14ac:dyDescent="0.25">
      <c r="A251" s="259" t="s">
        <v>307</v>
      </c>
      <c r="B251" s="229" t="s">
        <v>867</v>
      </c>
      <c r="C251" s="266" t="s">
        <v>152</v>
      </c>
      <c r="D251" s="371">
        <v>7</v>
      </c>
      <c r="E251" s="384">
        <v>5.9340000000000002</v>
      </c>
      <c r="F251" s="235">
        <f t="shared" si="26"/>
        <v>41.538000000000004</v>
      </c>
      <c r="G251" s="247"/>
      <c r="H251" s="267"/>
      <c r="I251" s="236"/>
      <c r="J251" s="235"/>
      <c r="K251" s="270"/>
      <c r="L251" s="243"/>
      <c r="M251" s="243"/>
      <c r="N251" s="252"/>
    </row>
    <row r="252" spans="1:14" ht="25.5" x14ac:dyDescent="0.25">
      <c r="A252" s="259" t="s">
        <v>310</v>
      </c>
      <c r="B252" s="229" t="s">
        <v>868</v>
      </c>
      <c r="C252" s="266" t="s">
        <v>152</v>
      </c>
      <c r="D252" s="371">
        <v>1</v>
      </c>
      <c r="E252" s="384">
        <v>9.49</v>
      </c>
      <c r="F252" s="235">
        <f t="shared" si="26"/>
        <v>9.49</v>
      </c>
      <c r="G252" s="247">
        <v>1</v>
      </c>
      <c r="H252" s="267"/>
      <c r="I252" s="274">
        <v>1</v>
      </c>
      <c r="J252" s="235"/>
      <c r="K252" s="270">
        <f t="shared" si="32"/>
        <v>9.49</v>
      </c>
      <c r="L252" s="270"/>
      <c r="M252" s="270">
        <f>E252*I252</f>
        <v>9.49</v>
      </c>
      <c r="N252" s="252"/>
    </row>
    <row r="253" spans="1:14" x14ac:dyDescent="0.25">
      <c r="A253" s="259" t="s">
        <v>312</v>
      </c>
      <c r="B253" s="229" t="s">
        <v>869</v>
      </c>
      <c r="C253" s="266" t="s">
        <v>152</v>
      </c>
      <c r="D253" s="375">
        <v>1</v>
      </c>
      <c r="E253" s="387">
        <f>3612.15*1.3126*0.79</f>
        <v>3745.6333911000006</v>
      </c>
      <c r="F253" s="235">
        <f>D253*E253</f>
        <v>3745.6333911000006</v>
      </c>
      <c r="G253" s="247"/>
      <c r="H253" s="455"/>
      <c r="I253" s="236"/>
      <c r="J253" s="235"/>
      <c r="K253" s="243"/>
      <c r="L253" s="243"/>
      <c r="M253" s="243"/>
      <c r="N253" s="252"/>
    </row>
    <row r="254" spans="1:14" ht="8.1" customHeight="1" x14ac:dyDescent="0.25">
      <c r="A254" s="510"/>
      <c r="B254" s="510"/>
      <c r="C254" s="510"/>
      <c r="D254" s="510"/>
      <c r="E254" s="510"/>
      <c r="F254" s="510"/>
      <c r="G254" s="510"/>
      <c r="H254" s="510"/>
      <c r="I254" s="510"/>
      <c r="J254" s="510"/>
      <c r="K254" s="510"/>
      <c r="L254" s="510"/>
      <c r="M254" s="510"/>
      <c r="N254" s="252"/>
    </row>
    <row r="255" spans="1:14" s="411" customFormat="1" ht="18" customHeight="1" x14ac:dyDescent="0.25">
      <c r="A255" s="402" t="s">
        <v>870</v>
      </c>
      <c r="B255" s="504" t="s">
        <v>871</v>
      </c>
      <c r="C255" s="505"/>
      <c r="D255" s="505"/>
      <c r="E255" s="506"/>
      <c r="F255" s="403">
        <f>SUM(F256:F260)</f>
        <v>3582.9520000000002</v>
      </c>
      <c r="G255" s="404"/>
      <c r="H255" s="454"/>
      <c r="I255" s="405"/>
      <c r="J255" s="420"/>
      <c r="K255" s="438"/>
      <c r="L255" s="438"/>
      <c r="M255" s="438">
        <f>SUM(M256:M260)</f>
        <v>0</v>
      </c>
      <c r="N255" s="418"/>
    </row>
    <row r="256" spans="1:14" ht="31.5" customHeight="1" x14ac:dyDescent="0.25">
      <c r="A256" s="259" t="s">
        <v>322</v>
      </c>
      <c r="B256" s="229" t="s">
        <v>872</v>
      </c>
      <c r="C256" s="266" t="s">
        <v>152</v>
      </c>
      <c r="D256" s="371">
        <v>4</v>
      </c>
      <c r="E256" s="384">
        <v>240.18</v>
      </c>
      <c r="F256" s="235">
        <f>E256*D256</f>
        <v>960.72</v>
      </c>
      <c r="G256" s="247"/>
      <c r="H256" s="267"/>
      <c r="I256" s="236"/>
      <c r="J256" s="235"/>
      <c r="K256" s="243"/>
      <c r="L256" s="243"/>
      <c r="M256" s="243"/>
      <c r="N256" s="252"/>
    </row>
    <row r="257" spans="1:15" ht="25.5" x14ac:dyDescent="0.25">
      <c r="A257" s="259" t="s">
        <v>324</v>
      </c>
      <c r="B257" s="229" t="s">
        <v>873</v>
      </c>
      <c r="C257" s="266" t="s">
        <v>152</v>
      </c>
      <c r="D257" s="371">
        <v>4</v>
      </c>
      <c r="E257" s="384">
        <v>272.42</v>
      </c>
      <c r="F257" s="235">
        <f>E257*D257</f>
        <v>1089.68</v>
      </c>
      <c r="G257" s="247"/>
      <c r="H257" s="267"/>
      <c r="I257" s="236"/>
      <c r="J257" s="235"/>
      <c r="K257" s="243"/>
      <c r="L257" s="243"/>
      <c r="M257" s="243"/>
      <c r="N257" s="252"/>
    </row>
    <row r="258" spans="1:15" ht="41.25" customHeight="1" x14ac:dyDescent="0.25">
      <c r="A258" s="259" t="s">
        <v>326</v>
      </c>
      <c r="B258" s="229" t="s">
        <v>874</v>
      </c>
      <c r="C258" s="266" t="s">
        <v>152</v>
      </c>
      <c r="D258" s="371">
        <v>20</v>
      </c>
      <c r="E258" s="384">
        <v>32.627000000000002</v>
      </c>
      <c r="F258" s="235">
        <f>E258*D258</f>
        <v>652.54000000000008</v>
      </c>
      <c r="G258" s="247"/>
      <c r="H258" s="267"/>
      <c r="I258" s="236"/>
      <c r="J258" s="235"/>
      <c r="K258" s="243"/>
      <c r="L258" s="243"/>
      <c r="M258" s="243"/>
      <c r="N258" s="252"/>
      <c r="O258" s="375"/>
    </row>
    <row r="259" spans="1:15" ht="25.5" x14ac:dyDescent="0.25">
      <c r="A259" s="259" t="s">
        <v>328</v>
      </c>
      <c r="B259" s="229" t="s">
        <v>875</v>
      </c>
      <c r="C259" s="266" t="s">
        <v>152</v>
      </c>
      <c r="D259" s="371">
        <v>4</v>
      </c>
      <c r="E259" s="384">
        <v>64.878</v>
      </c>
      <c r="F259" s="235">
        <f>E259*D259</f>
        <v>259.512</v>
      </c>
      <c r="G259" s="247"/>
      <c r="H259" s="267"/>
      <c r="I259" s="236"/>
      <c r="J259" s="235"/>
      <c r="K259" s="243"/>
      <c r="L259" s="243"/>
      <c r="M259" s="243"/>
      <c r="N259" s="252"/>
    </row>
    <row r="260" spans="1:15" x14ac:dyDescent="0.25">
      <c r="A260" s="259" t="s">
        <v>331</v>
      </c>
      <c r="B260" s="229" t="s">
        <v>876</v>
      </c>
      <c r="C260" s="266" t="s">
        <v>152</v>
      </c>
      <c r="D260" s="371">
        <v>20</v>
      </c>
      <c r="E260" s="384">
        <v>31.024999999999999</v>
      </c>
      <c r="F260" s="235">
        <f>E260*D260</f>
        <v>620.5</v>
      </c>
      <c r="G260" s="247"/>
      <c r="H260" s="267"/>
      <c r="I260" s="236"/>
      <c r="J260" s="235"/>
      <c r="K260" s="243"/>
      <c r="L260" s="243"/>
      <c r="M260" s="243"/>
      <c r="N260" s="252"/>
      <c r="O260" s="375"/>
    </row>
    <row r="261" spans="1:15" ht="8.1" customHeight="1" x14ac:dyDescent="0.25">
      <c r="A261" s="510"/>
      <c r="B261" s="510"/>
      <c r="C261" s="510"/>
      <c r="D261" s="510"/>
      <c r="E261" s="510"/>
      <c r="F261" s="510"/>
      <c r="G261" s="510"/>
      <c r="H261" s="510"/>
      <c r="I261" s="510"/>
      <c r="J261" s="510"/>
      <c r="K261" s="510"/>
      <c r="L261" s="510"/>
      <c r="M261" s="510"/>
      <c r="N261" s="252"/>
    </row>
    <row r="262" spans="1:15" s="411" customFormat="1" ht="18" customHeight="1" x14ac:dyDescent="0.25">
      <c r="A262" s="402" t="s">
        <v>877</v>
      </c>
      <c r="B262" s="504" t="s">
        <v>878</v>
      </c>
      <c r="C262" s="505"/>
      <c r="D262" s="505"/>
      <c r="E262" s="506"/>
      <c r="F262" s="403">
        <f>SUM(F263:F266)+0.01</f>
        <v>63929.633600800007</v>
      </c>
      <c r="G262" s="404"/>
      <c r="H262" s="454"/>
      <c r="I262" s="405"/>
      <c r="J262" s="420"/>
      <c r="K262" s="439">
        <f>SUM(K263:K266)</f>
        <v>45520.793722349998</v>
      </c>
      <c r="L262" s="439"/>
      <c r="M262" s="425">
        <f>SUM(M263:M266)</f>
        <v>45520.793722349998</v>
      </c>
      <c r="N262" s="418"/>
      <c r="O262" s="421"/>
    </row>
    <row r="263" spans="1:15" ht="38.25" x14ac:dyDescent="0.25">
      <c r="A263" s="259" t="s">
        <v>367</v>
      </c>
      <c r="B263" s="229" t="s">
        <v>879</v>
      </c>
      <c r="C263" s="266" t="s">
        <v>60</v>
      </c>
      <c r="D263" s="371">
        <v>2353.1799999999998</v>
      </c>
      <c r="E263" s="384">
        <v>3.085305</v>
      </c>
      <c r="F263" s="235">
        <f>E263*D263</f>
        <v>7260.278019899999</v>
      </c>
      <c r="G263" s="247">
        <v>2352.7800000000002</v>
      </c>
      <c r="H263" s="247"/>
      <c r="I263" s="274">
        <f>1820.08+415.83+116.87</f>
        <v>2352.7799999999997</v>
      </c>
      <c r="J263" s="235"/>
      <c r="K263" s="274">
        <f>E263*G263</f>
        <v>7259.043897900001</v>
      </c>
      <c r="L263" s="274"/>
      <c r="M263" s="268">
        <f>E263*I263</f>
        <v>7259.0438978999991</v>
      </c>
      <c r="N263" s="255"/>
      <c r="O263" s="380"/>
    </row>
    <row r="264" spans="1:15" ht="63.75" x14ac:dyDescent="0.25">
      <c r="A264" s="259" t="s">
        <v>370</v>
      </c>
      <c r="B264" s="229" t="s">
        <v>880</v>
      </c>
      <c r="C264" s="266" t="s">
        <v>60</v>
      </c>
      <c r="D264" s="371">
        <v>2102.38</v>
      </c>
      <c r="E264" s="384">
        <v>16.759554999999999</v>
      </c>
      <c r="F264" s="235">
        <f>E264*D264</f>
        <v>35234.953240900002</v>
      </c>
      <c r="G264" s="247">
        <v>2055.9899999999998</v>
      </c>
      <c r="H264" s="247"/>
      <c r="I264" s="274">
        <f>1930.18+125.81</f>
        <v>2055.9900000000002</v>
      </c>
      <c r="J264" s="235"/>
      <c r="K264" s="274">
        <f>E264*G264</f>
        <v>34457.477484449992</v>
      </c>
      <c r="L264" s="274"/>
      <c r="M264" s="268">
        <f>E264*I264</f>
        <v>34457.477484449999</v>
      </c>
      <c r="N264" s="252"/>
      <c r="O264" s="380"/>
    </row>
    <row r="265" spans="1:15" ht="51" x14ac:dyDescent="0.25">
      <c r="A265" s="259" t="s">
        <v>372</v>
      </c>
      <c r="B265" s="229" t="s">
        <v>881</v>
      </c>
      <c r="C265" s="266" t="s">
        <v>60</v>
      </c>
      <c r="D265" s="371">
        <v>250.8</v>
      </c>
      <c r="E265" s="384">
        <v>70.3</v>
      </c>
      <c r="F265" s="235">
        <f>E265*D265-1.12</f>
        <v>17630.120000000003</v>
      </c>
      <c r="G265" s="247"/>
      <c r="H265" s="267"/>
      <c r="I265" s="236"/>
      <c r="J265" s="235"/>
      <c r="K265" s="236"/>
      <c r="L265" s="236"/>
      <c r="M265" s="235"/>
      <c r="N265" s="252"/>
    </row>
    <row r="266" spans="1:15" ht="63.75" x14ac:dyDescent="0.25">
      <c r="A266" s="259" t="s">
        <v>374</v>
      </c>
      <c r="B266" s="229" t="s">
        <v>882</v>
      </c>
      <c r="C266" s="266" t="s">
        <v>60</v>
      </c>
      <c r="D266" s="371">
        <v>250.8</v>
      </c>
      <c r="E266" s="384">
        <v>15.16855</v>
      </c>
      <c r="F266" s="235">
        <f>E266*D266</f>
        <v>3804.27234</v>
      </c>
      <c r="G266" s="247">
        <v>250.8</v>
      </c>
      <c r="H266" s="267"/>
      <c r="I266" s="274">
        <v>250.8</v>
      </c>
      <c r="J266" s="235"/>
      <c r="K266" s="274">
        <f>E266*G266</f>
        <v>3804.27234</v>
      </c>
      <c r="L266" s="274"/>
      <c r="M266" s="268">
        <f>E266*I266</f>
        <v>3804.27234</v>
      </c>
      <c r="N266" s="252"/>
      <c r="O266" s="380"/>
    </row>
    <row r="267" spans="1:15" ht="8.1" customHeight="1" x14ac:dyDescent="0.25">
      <c r="A267" s="510"/>
      <c r="B267" s="510"/>
      <c r="C267" s="510"/>
      <c r="D267" s="510"/>
      <c r="E267" s="510"/>
      <c r="F267" s="510"/>
      <c r="G267" s="510"/>
      <c r="H267" s="510"/>
      <c r="I267" s="510"/>
      <c r="J267" s="510"/>
      <c r="K267" s="510"/>
      <c r="L267" s="510"/>
      <c r="M267" s="510"/>
      <c r="N267" s="252"/>
    </row>
    <row r="268" spans="1:15" s="444" customFormat="1" ht="18" customHeight="1" x14ac:dyDescent="0.25">
      <c r="A268" s="402" t="s">
        <v>883</v>
      </c>
      <c r="B268" s="504" t="s">
        <v>884</v>
      </c>
      <c r="C268" s="505"/>
      <c r="D268" s="505"/>
      <c r="E268" s="506"/>
      <c r="F268" s="409">
        <f>SUM(F269:F275)</f>
        <v>126942.87543969999</v>
      </c>
      <c r="G268" s="440"/>
      <c r="H268" s="440"/>
      <c r="I268" s="440"/>
      <c r="J268" s="441"/>
      <c r="K268" s="409">
        <f>SUM(K269:K274)</f>
        <v>67056.944559399999</v>
      </c>
      <c r="L268" s="442"/>
      <c r="M268" s="439">
        <f>SUM(M269:M274)</f>
        <v>67056.944559399999</v>
      </c>
      <c r="N268" s="443"/>
    </row>
    <row r="269" spans="1:15" ht="25.5" x14ac:dyDescent="0.25">
      <c r="A269" s="259" t="s">
        <v>381</v>
      </c>
      <c r="B269" s="229" t="s">
        <v>885</v>
      </c>
      <c r="C269" s="266" t="s">
        <v>60</v>
      </c>
      <c r="D269" s="371">
        <v>470.34</v>
      </c>
      <c r="E269" s="384">
        <v>23.381679999999999</v>
      </c>
      <c r="F269" s="235">
        <f t="shared" ref="F269:F274" si="34">E269*D269</f>
        <v>10997.3393712</v>
      </c>
      <c r="G269" s="247">
        <v>415.18</v>
      </c>
      <c r="H269" s="267"/>
      <c r="I269" s="274">
        <f>99.53+318.91-3.26</f>
        <v>415.18000000000006</v>
      </c>
      <c r="J269" s="235"/>
      <c r="K269" s="247">
        <f>E269*G269</f>
        <v>9707.6059024000006</v>
      </c>
      <c r="L269" s="291"/>
      <c r="M269" s="291">
        <f>E269*I269</f>
        <v>9707.6059024000006</v>
      </c>
      <c r="N269" s="252"/>
      <c r="O269" s="297"/>
    </row>
    <row r="270" spans="1:15" ht="25.5" x14ac:dyDescent="0.25">
      <c r="A270" s="259" t="s">
        <v>384</v>
      </c>
      <c r="B270" s="229" t="s">
        <v>886</v>
      </c>
      <c r="C270" s="266" t="s">
        <v>60</v>
      </c>
      <c r="D270" s="371">
        <v>454.86</v>
      </c>
      <c r="E270" s="384">
        <v>117.28825000000001</v>
      </c>
      <c r="F270" s="235">
        <f t="shared" si="34"/>
        <v>53349.733395000003</v>
      </c>
      <c r="G270" s="247">
        <v>415.18</v>
      </c>
      <c r="H270" s="267"/>
      <c r="I270" s="274">
        <v>415.18</v>
      </c>
      <c r="J270" s="235"/>
      <c r="K270" s="247">
        <f>E270*G270</f>
        <v>48695.735635000005</v>
      </c>
      <c r="L270" s="291"/>
      <c r="M270" s="270">
        <f>E270*I270</f>
        <v>48695.735635000005</v>
      </c>
      <c r="N270" s="252"/>
    </row>
    <row r="271" spans="1:15" ht="38.25" x14ac:dyDescent="0.25">
      <c r="A271" s="259" t="s">
        <v>387</v>
      </c>
      <c r="B271" s="229" t="s">
        <v>887</v>
      </c>
      <c r="C271" s="266" t="s">
        <v>60</v>
      </c>
      <c r="D271" s="371">
        <v>413.3</v>
      </c>
      <c r="E271" s="384">
        <v>54.58</v>
      </c>
      <c r="F271" s="235">
        <v>22559.08</v>
      </c>
      <c r="G271" s="247"/>
      <c r="H271" s="267"/>
      <c r="I271" s="236"/>
      <c r="J271" s="235"/>
      <c r="K271" s="247"/>
      <c r="L271" s="291"/>
      <c r="M271" s="243"/>
      <c r="N271" s="252"/>
    </row>
    <row r="272" spans="1:15" ht="38.25" x14ac:dyDescent="0.25">
      <c r="A272" s="259" t="s">
        <v>389</v>
      </c>
      <c r="B272" s="229" t="s">
        <v>888</v>
      </c>
      <c r="C272" s="266" t="s">
        <v>81</v>
      </c>
      <c r="D272" s="371">
        <v>57.08</v>
      </c>
      <c r="E272" s="384">
        <v>590.2867</v>
      </c>
      <c r="F272" s="235">
        <f t="shared" si="34"/>
        <v>33693.564835999998</v>
      </c>
      <c r="G272" s="247">
        <v>14.66</v>
      </c>
      <c r="H272" s="267"/>
      <c r="I272" s="274">
        <f>3.2+11.46</f>
        <v>14.66</v>
      </c>
      <c r="J272" s="235"/>
      <c r="K272" s="274">
        <f>E272*G272</f>
        <v>8653.6030219999993</v>
      </c>
      <c r="L272" s="291"/>
      <c r="M272" s="270">
        <f>E272*I272</f>
        <v>8653.6030219999993</v>
      </c>
      <c r="N272" s="477"/>
    </row>
    <row r="273" spans="1:14" ht="25.5" x14ac:dyDescent="0.25">
      <c r="A273" s="259" t="s">
        <v>392</v>
      </c>
      <c r="B273" s="229" t="s">
        <v>889</v>
      </c>
      <c r="C273" s="266" t="s">
        <v>60</v>
      </c>
      <c r="D273" s="371">
        <v>5.71</v>
      </c>
      <c r="E273" s="384">
        <v>54.9328</v>
      </c>
      <c r="F273" s="235">
        <f t="shared" si="34"/>
        <v>313.66628800000001</v>
      </c>
      <c r="G273" s="247"/>
      <c r="H273" s="267"/>
      <c r="I273" s="236"/>
      <c r="J273" s="235"/>
      <c r="K273" s="243"/>
      <c r="L273" s="291"/>
      <c r="M273" s="243"/>
      <c r="N273" s="252"/>
    </row>
    <row r="274" spans="1:14" ht="63.75" x14ac:dyDescent="0.25">
      <c r="A274" s="259" t="s">
        <v>395</v>
      </c>
      <c r="B274" s="229" t="s">
        <v>890</v>
      </c>
      <c r="C274" s="266" t="s">
        <v>189</v>
      </c>
      <c r="D274" s="371">
        <v>131.97</v>
      </c>
      <c r="E274" s="384">
        <v>45.68835</v>
      </c>
      <c r="F274" s="235">
        <f t="shared" si="34"/>
        <v>6029.4915494999996</v>
      </c>
      <c r="G274" s="247"/>
      <c r="H274" s="267"/>
      <c r="I274" s="236"/>
      <c r="J274" s="235"/>
      <c r="K274" s="243"/>
      <c r="L274" s="291"/>
      <c r="M274" s="243"/>
      <c r="N274" s="252"/>
    </row>
    <row r="275" spans="1:14" ht="8.1" customHeight="1" x14ac:dyDescent="0.25">
      <c r="A275" s="510"/>
      <c r="B275" s="510"/>
      <c r="C275" s="510"/>
      <c r="D275" s="510"/>
      <c r="E275" s="510"/>
      <c r="F275" s="510"/>
      <c r="G275" s="510"/>
      <c r="H275" s="510"/>
      <c r="I275" s="510"/>
      <c r="J275" s="510"/>
      <c r="K275" s="510"/>
      <c r="L275" s="510"/>
      <c r="M275" s="510"/>
      <c r="N275" s="252"/>
    </row>
    <row r="276" spans="1:14" s="411" customFormat="1" ht="18" customHeight="1" x14ac:dyDescent="0.25">
      <c r="A276" s="402" t="s">
        <v>891</v>
      </c>
      <c r="B276" s="504" t="s">
        <v>194</v>
      </c>
      <c r="C276" s="505"/>
      <c r="D276" s="505"/>
      <c r="E276" s="506"/>
      <c r="F276" s="403">
        <f>SUM(F277,F281)</f>
        <v>52294.937946000005</v>
      </c>
      <c r="G276" s="404"/>
      <c r="H276" s="454"/>
      <c r="I276" s="405"/>
      <c r="J276" s="420"/>
      <c r="K276" s="438"/>
      <c r="L276" s="442"/>
      <c r="M276" s="502">
        <f>M277+M281</f>
        <v>28937.082565099998</v>
      </c>
      <c r="N276" s="437"/>
    </row>
    <row r="277" spans="1:14" s="306" customFormat="1" ht="18" x14ac:dyDescent="0.25">
      <c r="A277" s="366" t="s">
        <v>459</v>
      </c>
      <c r="B277" s="507" t="s">
        <v>892</v>
      </c>
      <c r="C277" s="508"/>
      <c r="D277" s="508"/>
      <c r="E277" s="509"/>
      <c r="F277" s="312">
        <f>SUM(F278:F280)+0.01</f>
        <v>50172.677986000002</v>
      </c>
      <c r="H277" s="301"/>
      <c r="I277" s="302"/>
      <c r="J277" s="313"/>
      <c r="K277" s="314"/>
      <c r="L277" s="448"/>
      <c r="M277" s="503">
        <f>SUM(M278:M280)</f>
        <v>28937.082565099998</v>
      </c>
      <c r="N277" s="281"/>
    </row>
    <row r="278" spans="1:14" ht="25.5" x14ac:dyDescent="0.25">
      <c r="A278" s="259" t="s">
        <v>893</v>
      </c>
      <c r="B278" s="229" t="s">
        <v>894</v>
      </c>
      <c r="C278" s="259" t="s">
        <v>60</v>
      </c>
      <c r="D278" s="371">
        <v>2102.38</v>
      </c>
      <c r="E278" s="384">
        <v>2.2575400000000001</v>
      </c>
      <c r="F278" s="235">
        <f t="shared" ref="F278:F283" si="35">E278*D278</f>
        <v>4746.2069452000005</v>
      </c>
      <c r="G278" s="247">
        <v>2016.39</v>
      </c>
      <c r="H278" s="247"/>
      <c r="I278" s="274">
        <f>827.41+1188.98</f>
        <v>2016.3899999999999</v>
      </c>
      <c r="J278" s="235"/>
      <c r="K278" s="243"/>
      <c r="L278" s="270"/>
      <c r="M278" s="450">
        <f>E278*I278</f>
        <v>4552.0810806</v>
      </c>
      <c r="N278" s="382"/>
    </row>
    <row r="279" spans="1:14" ht="25.5" x14ac:dyDescent="0.25">
      <c r="A279" s="259" t="s">
        <v>895</v>
      </c>
      <c r="B279" s="229" t="s">
        <v>896</v>
      </c>
      <c r="C279" s="266" t="s">
        <v>60</v>
      </c>
      <c r="D279" s="371">
        <v>2102.38</v>
      </c>
      <c r="E279" s="384">
        <v>10.896934999999999</v>
      </c>
      <c r="F279" s="235">
        <f>D279*E279</f>
        <v>22909.498205299999</v>
      </c>
      <c r="G279" s="247">
        <v>1774.6</v>
      </c>
      <c r="H279" s="247"/>
      <c r="I279" s="274">
        <f>438.31+1336.29</f>
        <v>1774.6</v>
      </c>
      <c r="J279" s="235"/>
      <c r="K279" s="243"/>
      <c r="L279" s="270"/>
      <c r="M279" s="450">
        <f t="shared" ref="M279" si="36">E279*I279</f>
        <v>19337.700850999998</v>
      </c>
      <c r="N279" s="382"/>
    </row>
    <row r="280" spans="1:14" ht="25.5" x14ac:dyDescent="0.25">
      <c r="A280" s="259" t="s">
        <v>897</v>
      </c>
      <c r="B280" s="229" t="s">
        <v>898</v>
      </c>
      <c r="C280" s="266" t="s">
        <v>60</v>
      </c>
      <c r="D280" s="371">
        <v>2102.38</v>
      </c>
      <c r="E280" s="384">
        <v>10.710224999999999</v>
      </c>
      <c r="F280" s="235">
        <f>D280*E280</f>
        <v>22516.962835499999</v>
      </c>
      <c r="G280" s="247">
        <v>471.26</v>
      </c>
      <c r="H280" s="267"/>
      <c r="I280" s="274">
        <v>471.26</v>
      </c>
      <c r="J280" s="235"/>
      <c r="K280" s="243"/>
      <c r="L280" s="270"/>
      <c r="M280" s="450">
        <f>E280*I280</f>
        <v>5047.3006335</v>
      </c>
      <c r="N280" s="382"/>
    </row>
    <row r="281" spans="1:14" s="306" customFormat="1" ht="18" x14ac:dyDescent="0.25">
      <c r="A281" s="366" t="s">
        <v>461</v>
      </c>
      <c r="B281" s="507" t="s">
        <v>899</v>
      </c>
      <c r="C281" s="508"/>
      <c r="D281" s="508"/>
      <c r="E281" s="509"/>
      <c r="F281" s="300">
        <f>SUM(F282:F283)</f>
        <v>2122.2599600000003</v>
      </c>
      <c r="G281" s="301"/>
      <c r="H281" s="462"/>
      <c r="I281" s="449"/>
      <c r="J281" s="303"/>
      <c r="K281" s="314"/>
      <c r="L281" s="270"/>
      <c r="M281" s="450"/>
      <c r="N281" s="281"/>
    </row>
    <row r="282" spans="1:14" ht="25.5" x14ac:dyDescent="0.25">
      <c r="A282" s="259" t="s">
        <v>900</v>
      </c>
      <c r="B282" s="229" t="s">
        <v>901</v>
      </c>
      <c r="C282" s="266" t="s">
        <v>60</v>
      </c>
      <c r="D282" s="371">
        <v>6.12</v>
      </c>
      <c r="E282" s="384">
        <v>21.736999999999998</v>
      </c>
      <c r="F282" s="235">
        <f t="shared" si="35"/>
        <v>133.03044</v>
      </c>
      <c r="G282" s="247"/>
      <c r="H282" s="267"/>
      <c r="I282" s="274"/>
      <c r="J282" s="235"/>
      <c r="K282" s="243"/>
      <c r="L282" s="270"/>
      <c r="M282" s="450"/>
      <c r="N282" s="252"/>
    </row>
    <row r="283" spans="1:14" x14ac:dyDescent="0.25">
      <c r="A283" s="259" t="s">
        <v>900</v>
      </c>
      <c r="B283" s="229" t="s">
        <v>902</v>
      </c>
      <c r="C283" s="266" t="s">
        <v>60</v>
      </c>
      <c r="D283" s="371">
        <v>136.16</v>
      </c>
      <c r="E283" s="384">
        <v>14.609500000000001</v>
      </c>
      <c r="F283" s="235">
        <f t="shared" si="35"/>
        <v>1989.2295200000001</v>
      </c>
      <c r="G283" s="247"/>
      <c r="H283" s="267"/>
      <c r="I283" s="274"/>
      <c r="J283" s="235"/>
      <c r="K283" s="243"/>
      <c r="L283" s="270"/>
      <c r="M283" s="450"/>
      <c r="N283" s="252"/>
    </row>
    <row r="284" spans="1:14" ht="8.1" customHeight="1" x14ac:dyDescent="0.25">
      <c r="A284" s="510"/>
      <c r="B284" s="510"/>
      <c r="C284" s="510"/>
      <c r="D284" s="510"/>
      <c r="E284" s="510"/>
      <c r="F284" s="510"/>
      <c r="G284" s="510"/>
      <c r="H284" s="510"/>
      <c r="I284" s="510"/>
      <c r="J284" s="510"/>
      <c r="K284" s="510"/>
      <c r="L284" s="510"/>
      <c r="M284" s="510"/>
      <c r="N284" s="252"/>
    </row>
    <row r="285" spans="1:14" s="411" customFormat="1" ht="18" customHeight="1" x14ac:dyDescent="0.25">
      <c r="A285" s="402" t="s">
        <v>903</v>
      </c>
      <c r="B285" s="504" t="s">
        <v>904</v>
      </c>
      <c r="C285" s="505"/>
      <c r="D285" s="505"/>
      <c r="E285" s="506"/>
      <c r="F285" s="403">
        <f>SUM(F286:F288)+0.01</f>
        <v>2050.7917054999998</v>
      </c>
      <c r="G285" s="404"/>
      <c r="H285" s="454"/>
      <c r="I285" s="405"/>
      <c r="J285" s="420"/>
      <c r="K285" s="438"/>
      <c r="L285" s="438"/>
      <c r="M285" s="445">
        <f>SUM(M286:M288)</f>
        <v>0</v>
      </c>
      <c r="N285" s="418"/>
    </row>
    <row r="286" spans="1:14" x14ac:dyDescent="0.25">
      <c r="A286" s="259" t="s">
        <v>472</v>
      </c>
      <c r="B286" s="229" t="s">
        <v>905</v>
      </c>
      <c r="C286" s="266" t="s">
        <v>81</v>
      </c>
      <c r="D286" s="376">
        <v>27.81</v>
      </c>
      <c r="E286" s="384">
        <v>20.683299999999999</v>
      </c>
      <c r="F286" s="235">
        <f>E286*D286</f>
        <v>575.20257299999992</v>
      </c>
      <c r="G286" s="247"/>
      <c r="H286" s="267"/>
      <c r="I286" s="236"/>
      <c r="J286" s="235"/>
      <c r="K286" s="243"/>
      <c r="L286" s="243"/>
      <c r="M286" s="229"/>
      <c r="N286" s="252"/>
    </row>
    <row r="287" spans="1:14" ht="25.5" x14ac:dyDescent="0.25">
      <c r="A287" s="259" t="s">
        <v>475</v>
      </c>
      <c r="B287" s="229" t="s">
        <v>906</v>
      </c>
      <c r="C287" s="266" t="s">
        <v>152</v>
      </c>
      <c r="D287" s="376">
        <v>2</v>
      </c>
      <c r="E287" s="384">
        <v>208.13489999999999</v>
      </c>
      <c r="F287" s="235">
        <f>E287*D287</f>
        <v>416.26979999999998</v>
      </c>
      <c r="G287" s="247"/>
      <c r="H287" s="267"/>
      <c r="I287" s="236"/>
      <c r="J287" s="235"/>
      <c r="K287" s="243"/>
      <c r="L287" s="243"/>
      <c r="M287" s="229"/>
      <c r="N287" s="252"/>
    </row>
    <row r="288" spans="1:14" x14ac:dyDescent="0.25">
      <c r="A288" s="259" t="s">
        <v>477</v>
      </c>
      <c r="B288" s="229" t="s">
        <v>907</v>
      </c>
      <c r="C288" s="266" t="s">
        <v>81</v>
      </c>
      <c r="D288" s="376">
        <v>502.75</v>
      </c>
      <c r="E288" s="384">
        <v>2.10703</v>
      </c>
      <c r="F288" s="235">
        <f>E288*D288</f>
        <v>1059.3093325</v>
      </c>
      <c r="G288" s="247"/>
      <c r="H288" s="267"/>
      <c r="I288" s="236"/>
      <c r="J288" s="235"/>
      <c r="K288" s="243"/>
      <c r="L288" s="243"/>
      <c r="M288" s="229"/>
      <c r="N288" s="252"/>
    </row>
    <row r="289" spans="1:15" ht="8.1" customHeight="1" x14ac:dyDescent="0.25">
      <c r="A289" s="510"/>
      <c r="B289" s="510"/>
      <c r="C289" s="510"/>
      <c r="D289" s="510"/>
      <c r="E289" s="510"/>
      <c r="F289" s="510"/>
      <c r="G289" s="510"/>
      <c r="H289" s="510"/>
      <c r="I289" s="510"/>
      <c r="J289" s="510"/>
      <c r="K289" s="510"/>
      <c r="L289" s="510"/>
      <c r="M289" s="510"/>
      <c r="N289" s="252"/>
    </row>
    <row r="290" spans="1:15" ht="24.95" customHeight="1" x14ac:dyDescent="0.25">
      <c r="A290" s="569" t="s">
        <v>908</v>
      </c>
      <c r="B290" s="570"/>
      <c r="C290" s="570"/>
      <c r="D290" s="570"/>
      <c r="E290" s="570"/>
      <c r="F290" s="570"/>
      <c r="G290" s="570"/>
      <c r="H290" s="570"/>
      <c r="I290" s="570"/>
      <c r="J290" s="570"/>
      <c r="K290" s="571"/>
      <c r="L290" s="288">
        <f>SUM(L285,L276,L268,L262,L255,L215,L178,L140,L126,L122,L110,L107,L60,L29,L24,L17)</f>
        <v>26285.835069000001</v>
      </c>
      <c r="M290" s="289">
        <f>SUM(M285,M276,M268,M262,M255,M215,M178,M140,M126,M122,M110,M107,M60,M29,M24,M17)</f>
        <v>618066.44093875005</v>
      </c>
      <c r="N290" s="292"/>
      <c r="O290" s="365"/>
    </row>
    <row r="291" spans="1:15" x14ac:dyDescent="0.25">
      <c r="L291" s="238"/>
    </row>
    <row r="295" spans="1:15" ht="30" customHeight="1" x14ac:dyDescent="0.25">
      <c r="F295" s="401"/>
      <c r="H295" s="466"/>
      <c r="M295" s="299"/>
    </row>
    <row r="296" spans="1:15" x14ac:dyDescent="0.25">
      <c r="F296" s="401"/>
      <c r="M296" s="315"/>
    </row>
    <row r="297" spans="1:15" x14ac:dyDescent="0.25">
      <c r="F297" s="401"/>
      <c r="M297" s="285"/>
    </row>
    <row r="298" spans="1:15" ht="24.75" customHeight="1" x14ac:dyDescent="0.25">
      <c r="F298" s="401"/>
      <c r="H298" s="466"/>
      <c r="M298" s="253"/>
    </row>
    <row r="299" spans="1:15" x14ac:dyDescent="0.25">
      <c r="F299" s="401"/>
      <c r="I299" s="475"/>
    </row>
    <row r="300" spans="1:15" x14ac:dyDescent="0.25">
      <c r="F300" s="401"/>
      <c r="I300" s="476"/>
    </row>
    <row r="301" spans="1:15" x14ac:dyDescent="0.25">
      <c r="F301" s="401"/>
      <c r="I301" s="475"/>
    </row>
    <row r="302" spans="1:15" x14ac:dyDescent="0.25">
      <c r="F302" s="401"/>
    </row>
    <row r="303" spans="1:15" x14ac:dyDescent="0.25">
      <c r="I303" s="475"/>
    </row>
  </sheetData>
  <mergeCells count="96">
    <mergeCell ref="B277:E277"/>
    <mergeCell ref="B276:E276"/>
    <mergeCell ref="A267:M267"/>
    <mergeCell ref="A275:M275"/>
    <mergeCell ref="B179:E179"/>
    <mergeCell ref="B194:E194"/>
    <mergeCell ref="B200:E200"/>
    <mergeCell ref="B210:E210"/>
    <mergeCell ref="B262:E262"/>
    <mergeCell ref="B255:E255"/>
    <mergeCell ref="B215:E215"/>
    <mergeCell ref="A214:M214"/>
    <mergeCell ref="A254:M254"/>
    <mergeCell ref="A261:M261"/>
    <mergeCell ref="A139:M139"/>
    <mergeCell ref="A177:M177"/>
    <mergeCell ref="A85:M85"/>
    <mergeCell ref="B24:E24"/>
    <mergeCell ref="B29:E29"/>
    <mergeCell ref="B48:E48"/>
    <mergeCell ref="B111:E111"/>
    <mergeCell ref="B62:E62"/>
    <mergeCell ref="B73:E73"/>
    <mergeCell ref="B86:E86"/>
    <mergeCell ref="B127:E127"/>
    <mergeCell ref="B136:E136"/>
    <mergeCell ref="B140:E140"/>
    <mergeCell ref="A121:M121"/>
    <mergeCell ref="B52:E52"/>
    <mergeCell ref="B60:E60"/>
    <mergeCell ref="A284:M284"/>
    <mergeCell ref="A290:K290"/>
    <mergeCell ref="A289:M289"/>
    <mergeCell ref="B285:E285"/>
    <mergeCell ref="B281:E281"/>
    <mergeCell ref="A10:E10"/>
    <mergeCell ref="A6:M6"/>
    <mergeCell ref="H10:K10"/>
    <mergeCell ref="F11:K11"/>
    <mergeCell ref="F12:K12"/>
    <mergeCell ref="L9:M9"/>
    <mergeCell ref="L8:M8"/>
    <mergeCell ref="L7:M7"/>
    <mergeCell ref="H7:K7"/>
    <mergeCell ref="H8:K8"/>
    <mergeCell ref="H9:K9"/>
    <mergeCell ref="L10:M10"/>
    <mergeCell ref="A2:C2"/>
    <mergeCell ref="A3:C3"/>
    <mergeCell ref="A7:E7"/>
    <mergeCell ref="A8:E8"/>
    <mergeCell ref="A9:E9"/>
    <mergeCell ref="A13:F13"/>
    <mergeCell ref="A14:B14"/>
    <mergeCell ref="A23:M23"/>
    <mergeCell ref="A11:E11"/>
    <mergeCell ref="A12:E12"/>
    <mergeCell ref="L11:M11"/>
    <mergeCell ref="L12:M12"/>
    <mergeCell ref="L13:M13"/>
    <mergeCell ref="K14:M14"/>
    <mergeCell ref="G14:I14"/>
    <mergeCell ref="C14:F14"/>
    <mergeCell ref="G13:K13"/>
    <mergeCell ref="A16:M16"/>
    <mergeCell ref="A18:M18"/>
    <mergeCell ref="B17:E17"/>
    <mergeCell ref="A25:M25"/>
    <mergeCell ref="B31:E31"/>
    <mergeCell ref="B268:E268"/>
    <mergeCell ref="A97:M97"/>
    <mergeCell ref="A99:M99"/>
    <mergeCell ref="A28:M28"/>
    <mergeCell ref="A59:M59"/>
    <mergeCell ref="B178:E178"/>
    <mergeCell ref="A30:M30"/>
    <mergeCell ref="A32:M32"/>
    <mergeCell ref="A47:M47"/>
    <mergeCell ref="A49:M49"/>
    <mergeCell ref="A51:M51"/>
    <mergeCell ref="A53:M53"/>
    <mergeCell ref="A61:M61"/>
    <mergeCell ref="A63:M63"/>
    <mergeCell ref="A72:M72"/>
    <mergeCell ref="A74:M74"/>
    <mergeCell ref="A87:M87"/>
    <mergeCell ref="B116:E116"/>
    <mergeCell ref="B119:E119"/>
    <mergeCell ref="B122:E122"/>
    <mergeCell ref="B126:E126"/>
    <mergeCell ref="B98:E98"/>
    <mergeCell ref="B107:E107"/>
    <mergeCell ref="B110:E110"/>
    <mergeCell ref="A106:M106"/>
    <mergeCell ref="A109:M109"/>
    <mergeCell ref="A125:M125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headerFooter alignWithMargins="0"/>
  <rowBreaks count="7" manualBreakCount="7">
    <brk id="59" max="12" man="1"/>
    <brk id="88" max="12" man="1"/>
    <brk id="105" max="12" man="1"/>
    <brk id="125" max="12" man="1"/>
    <brk id="139" max="12" man="1"/>
    <brk id="214" max="12" man="1"/>
    <brk id="28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PLAN. ORÇAMENTO</vt:lpstr>
      <vt:lpstr>MEMÓRIA MED 9</vt:lpstr>
      <vt:lpstr>RESUMO MEDIÇÃO</vt:lpstr>
      <vt:lpstr>BM 09</vt:lpstr>
      <vt:lpstr>'BM 09'!Area_de_impressao</vt:lpstr>
      <vt:lpstr>'MEMÓRIA MED 9'!Area_de_impressao</vt:lpstr>
      <vt:lpstr>'PLAN. ORÇAMENTO'!Area_de_impressao</vt:lpstr>
      <vt:lpstr>'RESUMO MEDIÇÃO'!Area_de_impressao</vt:lpstr>
      <vt:lpstr>'BM 09'!Titulos_de_impressao</vt:lpstr>
      <vt:lpstr>'PLAN. ORÇAMENTO'!Titulos_de_impressao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User</cp:lastModifiedBy>
  <cp:lastPrinted>2024-08-28T13:02:20Z</cp:lastPrinted>
  <dcterms:created xsi:type="dcterms:W3CDTF">2016-07-06T18:05:12Z</dcterms:created>
  <dcterms:modified xsi:type="dcterms:W3CDTF">2025-06-13T14:18:40Z</dcterms:modified>
</cp:coreProperties>
</file>